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ork02.gouv.etat.lu\ML\B_Communication\Projets\11 Capital investi\Documents définitifs\"/>
    </mc:Choice>
  </mc:AlternateContent>
  <bookViews>
    <workbookView xWindow="0" yWindow="0" windowWidth="19200" windowHeight="6900" firstSheet="3" activeTab="3"/>
  </bookViews>
  <sheets>
    <sheet name="List" sheetId="12" state="hidden" r:id="rId1"/>
    <sheet name="Calcul CI - MinLog pres" sheetId="11" state="hidden" r:id="rId2"/>
    <sheet name="Calcul CI - A&amp;O" sheetId="1" state="hidden" r:id="rId3"/>
    <sheet name="Calculatrice Capital investi" sheetId="16" r:id="rId4"/>
    <sheet name="BarèmeLIR" sheetId="9" r:id="rId5"/>
    <sheet name="Complément - location meublée" sheetId="8" state="hidden" r:id="rId6"/>
  </sheets>
  <calcPr calcId="162913" calcMode="manual"/>
</workbook>
</file>

<file path=xl/calcChain.xml><?xml version="1.0" encoding="utf-8"?>
<calcChain xmlns="http://schemas.openxmlformats.org/spreadsheetml/2006/main">
  <c r="C11" i="16" l="1"/>
  <c r="C23" i="16" l="1"/>
  <c r="C25" i="16"/>
  <c r="C26" i="16" s="1"/>
  <c r="C86" i="16" l="1"/>
  <c r="C87" i="16" s="1"/>
  <c r="C81" i="16"/>
  <c r="C82" i="16" s="1"/>
  <c r="C76" i="16"/>
  <c r="C77" i="16" s="1"/>
  <c r="C71" i="16"/>
  <c r="C72" i="16" s="1"/>
  <c r="C66" i="16"/>
  <c r="C67" i="16" s="1"/>
  <c r="C54" i="16"/>
  <c r="C55" i="16" s="1"/>
  <c r="C49" i="16"/>
  <c r="C50" i="16" s="1"/>
  <c r="C44" i="16"/>
  <c r="C45" i="16" s="1"/>
  <c r="C39" i="16"/>
  <c r="C40" i="16" s="1"/>
  <c r="C34" i="16"/>
  <c r="C35" i="16" s="1"/>
  <c r="C27" i="16"/>
  <c r="C19" i="16"/>
  <c r="C92" i="16"/>
  <c r="C89" i="16" l="1"/>
  <c r="C57" i="16"/>
  <c r="C24" i="16"/>
  <c r="C28" i="16" s="1"/>
  <c r="C58" i="16"/>
  <c r="C59" i="16" l="1"/>
  <c r="C95" i="16" s="1"/>
  <c r="C91" i="16"/>
  <c r="C93" i="16" s="1"/>
  <c r="C97" i="16" l="1"/>
  <c r="C98" i="16" s="1"/>
  <c r="B31" i="11" l="1"/>
  <c r="B22" i="11"/>
  <c r="B13" i="11"/>
  <c r="B33" i="11" s="1"/>
  <c r="B35" i="11" s="1"/>
  <c r="B37" i="11" l="1"/>
  <c r="B38" i="11" s="1"/>
  <c r="B19" i="1" l="1"/>
  <c r="B4" i="1"/>
  <c r="B5" i="8" l="1"/>
  <c r="B5" i="1" l="1"/>
  <c r="B6" i="1"/>
  <c r="B7" i="1" s="1"/>
  <c r="B12" i="1"/>
  <c r="B13" i="1" s="1"/>
  <c r="J24" i="1"/>
  <c r="J12" i="1"/>
  <c r="B8" i="1" l="1"/>
  <c r="B15" i="1" s="1"/>
  <c r="B20" i="1"/>
  <c r="B21" i="1" s="1"/>
  <c r="B22" i="1" s="1"/>
  <c r="B25" i="1" l="1"/>
  <c r="B26" i="1" l="1"/>
  <c r="B28" i="1" l="1"/>
  <c r="B29" i="1"/>
</calcChain>
</file>

<file path=xl/comments1.xml><?xml version="1.0" encoding="utf-8"?>
<comments xmlns="http://schemas.openxmlformats.org/spreadsheetml/2006/main">
  <authors>
    <author>Allen &amp; Overy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Allen &amp; Overy:</t>
        </r>
        <r>
          <rPr>
            <sz val="9"/>
            <color indexed="81"/>
            <rFont val="Tahoma"/>
            <family val="2"/>
          </rPr>
          <t xml:space="preserve">
Est-ce qu'on va réévaluer le prix du terrain avant de le déduire de la décote ?
</t>
        </r>
      </text>
    </comment>
  </commentList>
</comments>
</file>

<file path=xl/sharedStrings.xml><?xml version="1.0" encoding="utf-8"?>
<sst xmlns="http://schemas.openxmlformats.org/spreadsheetml/2006/main" count="165" uniqueCount="84">
  <si>
    <t>Année de construction</t>
  </si>
  <si>
    <t>________________________________________</t>
  </si>
  <si>
    <t>Frais de constructions réévalués</t>
  </si>
  <si>
    <t>Décote</t>
  </si>
  <si>
    <t>Travaux d'amélioration</t>
  </si>
  <si>
    <t>Partie Terrain</t>
  </si>
  <si>
    <t>Coefficient de réévalution</t>
  </si>
  <si>
    <t>Année de réalisation</t>
  </si>
  <si>
    <t>Capital investi réévalué</t>
  </si>
  <si>
    <t>Années à prendre en considération pour décote</t>
  </si>
  <si>
    <t>Période de deux années révolues</t>
  </si>
  <si>
    <t>Décote à appliquer</t>
  </si>
  <si>
    <t>Montant à reporter sur décotes ultérieures</t>
  </si>
  <si>
    <t>Loyer mensuel maximal autorisé</t>
  </si>
  <si>
    <t>Année d'acquisition</t>
  </si>
  <si>
    <t>Prix d'achat</t>
  </si>
  <si>
    <t>Prix des constructions</t>
  </si>
  <si>
    <t>Prix du terrain</t>
  </si>
  <si>
    <t xml:space="preserve">Frais accessoires : </t>
  </si>
  <si>
    <t>Frais financiers (intérêts)</t>
  </si>
  <si>
    <t>Frais d'architectes, ingénieurs 
et autres conseils</t>
  </si>
  <si>
    <t>Travaux d'amélioration et de rénovation 
réalisés dans l'année de l'acquistion</t>
  </si>
  <si>
    <t>Somme du capital investi :</t>
  </si>
  <si>
    <t>Capital investi dans la construction initiale 
du logement et de ses dépendances</t>
  </si>
  <si>
    <t>Acquisition d'un logement existant</t>
  </si>
  <si>
    <t xml:space="preserve">OU </t>
  </si>
  <si>
    <t>Part du terrain (compris dans le prix d'achat)</t>
  </si>
  <si>
    <t>Montant du capital investi réévalué et décoté</t>
  </si>
  <si>
    <t>Année</t>
  </si>
  <si>
    <t>Coefficient</t>
  </si>
  <si>
    <t>Capital investi initialement selon tableau</t>
  </si>
  <si>
    <t>Capital investi + travaux d'amélioriation réévalué</t>
  </si>
  <si>
    <t>Capital investi &amp; Travaux d'amélioration</t>
  </si>
  <si>
    <t>Taux de décote à appliquer</t>
  </si>
  <si>
    <t>Frais d'entretien et de réparation
investis depuis la construction / l'acquisition</t>
  </si>
  <si>
    <t>Frais de notaire + enregistrement</t>
  </si>
  <si>
    <t>Complément de loyer exigible en cas de location meublée</t>
  </si>
  <si>
    <t>Pourcentage à appliquer :</t>
  </si>
  <si>
    <t>Valeur actuelle des meubles au moment de la conclusion du contrat de bail :</t>
  </si>
  <si>
    <t>Complément de loyer exigible (mensuel) :</t>
  </si>
  <si>
    <t>Capital investi au moment de la construction / de l'acquisition</t>
  </si>
  <si>
    <t>Prix d'acquisition / d'acquisition</t>
  </si>
  <si>
    <t>Travaux d'amélioration 1</t>
  </si>
  <si>
    <t>Travaux d'amélioration 2</t>
  </si>
  <si>
    <t>Travaux d'entretien et de réparation</t>
  </si>
  <si>
    <t>Travaux d'entretien et de réparation 1</t>
  </si>
  <si>
    <t>Travaux d'entretien et de réparation 2</t>
  </si>
  <si>
    <t>Travaux d'entretien et de réparation réévalués</t>
  </si>
  <si>
    <t>Somme travaux d'amélioration :</t>
  </si>
  <si>
    <t>Somme total construction / acquisition :</t>
  </si>
  <si>
    <t>Somme travaux d'entretien et de réparation :</t>
  </si>
  <si>
    <t>Décote (déduction faite des travaux d'entretien réévalués)</t>
  </si>
  <si>
    <t>Art 3 (1) Loi 21/09/2006</t>
  </si>
  <si>
    <t>Art 3 (3) Loi 21/09/2006</t>
  </si>
  <si>
    <t xml:space="preserve">Les travaux d'entretien réévalués ne contribuent pas au capital investi mais viennent en déduction de la décôte </t>
  </si>
  <si>
    <t>Prise en compte poste par poste, donc avec des coefficients différents selon la date d'achèvement</t>
  </si>
  <si>
    <t>Si pas connu, 20% du prix d'acquisiton. Inclus dans le montant réévalué mais exclus de la décote</t>
  </si>
  <si>
    <t>Si le logement est plus vieux que 15 ans, décote à hauteur de 2% par 2 ans depuis le plus récent de la date d'acquisition ou de l'année de construction + 15. La décote pour les travaux d'entretien et le prix d'acquisition est la même. Le coût du terrain et les frais de notaire + enregistrement sont exclus de la décôte</t>
  </si>
  <si>
    <t>Frais de notaire et d'enregistrement exclus entièrement du montant de la décôte - question d'interprétation</t>
  </si>
  <si>
    <t xml:space="preserve">Date de mise en location </t>
  </si>
  <si>
    <t xml:space="preserve">Frais de notaire + enregistrement (part terrain) </t>
  </si>
  <si>
    <t xml:space="preserve">Frais de notaire + enregistrement (part construction) </t>
  </si>
  <si>
    <t>Valeur du terrain connue</t>
  </si>
  <si>
    <t>Oui</t>
  </si>
  <si>
    <t>Non</t>
  </si>
  <si>
    <t>Valeur du terrain</t>
  </si>
  <si>
    <t>Frais d'architectes, ingénieurs et autres conseils</t>
  </si>
  <si>
    <t xml:space="preserve">Décote relative aux travaux d'amélioration </t>
  </si>
  <si>
    <t>Total capital investi réévalué</t>
  </si>
  <si>
    <t>Décote (déduction faite des travaux d'entretien et de réparation réév.)</t>
  </si>
  <si>
    <t>Capital investi réévalué relatif à la construction / l'acquisition</t>
  </si>
  <si>
    <t>Capital investi relatif à la construction / l'acquisition :</t>
  </si>
  <si>
    <t>Capital investi réévalué relatif aux travaux d'amélioration</t>
  </si>
  <si>
    <t>Veuillez saisir les données dans les champs en vert</t>
  </si>
  <si>
    <t>Décote relative à la construction / l'acquisition (hors part terrain)</t>
  </si>
  <si>
    <t>Travaux d'amélioration réévalués</t>
  </si>
  <si>
    <t>dont: capital investi relatif à la part terrain</t>
  </si>
  <si>
    <t xml:space="preserve">dont: capital investi hors part terrain </t>
  </si>
  <si>
    <t>Travaux d'amélioration (montant en €)</t>
  </si>
  <si>
    <t>Travaux d'entretien et de réparation (montant en €)</t>
  </si>
  <si>
    <t>Prix de construction ou d'acquisition de l'objet loué :</t>
  </si>
  <si>
    <t>Frais accessoires :</t>
  </si>
  <si>
    <t>Prix de construction ou d'acquisition (terrain compris - montant en €)</t>
  </si>
  <si>
    <t>Prix d'acquisition du terrain (montant 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</si>
</sst>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40C]_-;\-* #,##0.00\ [$€-140C]_-;_-* &quot;-&quot;??\ [$€-140C]_-;_-@_-"/>
  </numFmts>
  <fonts count="18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231F2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color rgb="FF006100"/>
      <name val="Arial"/>
      <family val="2"/>
    </font>
    <font>
      <b/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106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9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164" fontId="2" fillId="2" borderId="6" xfId="3" applyNumberFormat="1" applyBorder="1"/>
    <xf numFmtId="0" fontId="2" fillId="2" borderId="6" xfId="3" applyBorder="1"/>
    <xf numFmtId="44" fontId="2" fillId="2" borderId="6" xfId="1" applyFont="1" applyFill="1" applyBorder="1"/>
    <xf numFmtId="44" fontId="0" fillId="0" borderId="8" xfId="1" applyFont="1" applyBorder="1"/>
    <xf numFmtId="0" fontId="6" fillId="0" borderId="7" xfId="0" applyFont="1" applyFill="1" applyBorder="1"/>
    <xf numFmtId="0" fontId="6" fillId="0" borderId="5" xfId="0" applyFont="1" applyBorder="1"/>
    <xf numFmtId="164" fontId="4" fillId="0" borderId="6" xfId="0" applyNumberFormat="1" applyFont="1" applyBorder="1"/>
    <xf numFmtId="0" fontId="4" fillId="0" borderId="6" xfId="0" applyFont="1" applyBorder="1"/>
    <xf numFmtId="44" fontId="2" fillId="2" borderId="6" xfId="3" applyNumberFormat="1" applyBorder="1"/>
    <xf numFmtId="0" fontId="4" fillId="0" borderId="6" xfId="0" applyNumberFormat="1" applyFont="1" applyBorder="1"/>
    <xf numFmtId="44" fontId="4" fillId="0" borderId="6" xfId="0" applyNumberFormat="1" applyFont="1" applyBorder="1"/>
    <xf numFmtId="0" fontId="6" fillId="0" borderId="7" xfId="0" applyFont="1" applyBorder="1"/>
    <xf numFmtId="0" fontId="6" fillId="0" borderId="5" xfId="0" applyFont="1" applyBorder="1" applyAlignment="1">
      <alignment wrapText="1"/>
    </xf>
    <xf numFmtId="0" fontId="4" fillId="0" borderId="7" xfId="0" applyFont="1" applyBorder="1"/>
    <xf numFmtId="0" fontId="0" fillId="0" borderId="0" xfId="0" applyFill="1" applyBorder="1"/>
    <xf numFmtId="0" fontId="3" fillId="0" borderId="0" xfId="4" applyFill="1" applyBorder="1" applyAlignment="1">
      <alignment horizontal="center"/>
    </xf>
    <xf numFmtId="0" fontId="5" fillId="0" borderId="6" xfId="0" applyFont="1" applyBorder="1"/>
    <xf numFmtId="9" fontId="0" fillId="0" borderId="6" xfId="2" applyNumberFormat="1" applyFont="1" applyBorder="1"/>
    <xf numFmtId="164" fontId="0" fillId="0" borderId="6" xfId="0" applyNumberFormat="1" applyBorder="1"/>
    <xf numFmtId="164" fontId="6" fillId="0" borderId="2" xfId="1" applyNumberFormat="1" applyFont="1" applyBorder="1" applyAlignment="1">
      <alignment horizontal="right"/>
    </xf>
    <xf numFmtId="164" fontId="6" fillId="0" borderId="2" xfId="0" applyNumberFormat="1" applyFont="1" applyBorder="1"/>
    <xf numFmtId="44" fontId="9" fillId="0" borderId="10" xfId="1" applyFont="1" applyBorder="1"/>
    <xf numFmtId="164" fontId="9" fillId="0" borderId="10" xfId="0" applyNumberFormat="1" applyFont="1" applyBorder="1"/>
    <xf numFmtId="9" fontId="4" fillId="0" borderId="6" xfId="2" applyFont="1" applyBorder="1"/>
    <xf numFmtId="9" fontId="0" fillId="0" borderId="0" xfId="2" applyFont="1" applyBorder="1"/>
    <xf numFmtId="0" fontId="4" fillId="0" borderId="3" xfId="0" applyFont="1" applyBorder="1" applyAlignment="1">
      <alignment wrapText="1"/>
    </xf>
    <xf numFmtId="164" fontId="4" fillId="4" borderId="4" xfId="0" applyNumberFormat="1" applyFont="1" applyFill="1" applyBorder="1"/>
    <xf numFmtId="164" fontId="4" fillId="0" borderId="8" xfId="0" applyNumberFormat="1" applyFont="1" applyBorder="1"/>
    <xf numFmtId="0" fontId="0" fillId="0" borderId="0" xfId="0" applyBorder="1" applyAlignment="1">
      <alignment wrapText="1"/>
    </xf>
    <xf numFmtId="164" fontId="4" fillId="0" borderId="0" xfId="0" applyNumberFormat="1" applyFont="1" applyBorder="1"/>
    <xf numFmtId="0" fontId="6" fillId="0" borderId="0" xfId="0" applyFont="1" applyBorder="1"/>
    <xf numFmtId="0" fontId="3" fillId="3" borderId="10" xfId="4" applyBorder="1" applyAlignment="1">
      <alignment horizontal="center"/>
    </xf>
    <xf numFmtId="0" fontId="3" fillId="3" borderId="0" xfId="4" applyBorder="1" applyAlignment="1">
      <alignment horizontal="center"/>
    </xf>
    <xf numFmtId="0" fontId="3" fillId="3" borderId="9" xfId="4" applyBorder="1" applyAlignment="1"/>
    <xf numFmtId="1" fontId="2" fillId="2" borderId="6" xfId="3" applyNumberFormat="1" applyBorder="1"/>
    <xf numFmtId="164" fontId="6" fillId="0" borderId="10" xfId="0" applyNumberFormat="1" applyFont="1" applyBorder="1"/>
    <xf numFmtId="0" fontId="11" fillId="0" borderId="0" xfId="0" applyFont="1"/>
    <xf numFmtId="0" fontId="3" fillId="3" borderId="11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0" borderId="6" xfId="4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0" fillId="0" borderId="17" xfId="0" applyBorder="1"/>
    <xf numFmtId="0" fontId="1" fillId="0" borderId="0" xfId="0" applyFont="1"/>
    <xf numFmtId="0" fontId="12" fillId="0" borderId="0" xfId="0" applyFont="1"/>
    <xf numFmtId="0" fontId="1" fillId="0" borderId="5" xfId="0" applyFont="1" applyBorder="1"/>
    <xf numFmtId="0" fontId="13" fillId="0" borderId="5" xfId="0" applyFont="1" applyBorder="1"/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10" fillId="0" borderId="15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2" fontId="10" fillId="0" borderId="24" xfId="0" applyNumberFormat="1" applyFont="1" applyFill="1" applyBorder="1" applyAlignment="1">
      <alignment horizontal="center" vertical="top" shrinkToFit="1"/>
    </xf>
    <xf numFmtId="0" fontId="0" fillId="0" borderId="21" xfId="0" applyBorder="1" applyAlignment="1">
      <alignment horizontal="center"/>
    </xf>
    <xf numFmtId="9" fontId="12" fillId="0" borderId="0" xfId="2" applyFont="1"/>
    <xf numFmtId="44" fontId="6" fillId="0" borderId="2" xfId="1" applyFont="1" applyBorder="1"/>
    <xf numFmtId="0" fontId="12" fillId="0" borderId="9" xfId="0" applyFont="1" applyBorder="1" applyAlignment="1">
      <alignment horizontal="left" indent="2"/>
    </xf>
    <xf numFmtId="164" fontId="12" fillId="0" borderId="2" xfId="0" applyNumberFormat="1" applyFont="1" applyBorder="1"/>
    <xf numFmtId="44" fontId="14" fillId="2" borderId="0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14" fontId="15" fillId="2" borderId="2" xfId="1" applyNumberFormat="1" applyFont="1" applyFill="1" applyBorder="1" applyAlignment="1">
      <alignment horizontal="right"/>
    </xf>
    <xf numFmtId="0" fontId="1" fillId="0" borderId="0" xfId="0" applyFont="1" applyBorder="1"/>
    <xf numFmtId="0" fontId="16" fillId="0" borderId="5" xfId="4" applyFont="1" applyFill="1" applyBorder="1" applyAlignment="1">
      <alignment horizontal="center"/>
    </xf>
    <xf numFmtId="0" fontId="16" fillId="0" borderId="16" xfId="4" applyFont="1" applyFill="1" applyBorder="1" applyAlignment="1">
      <alignment horizontal="center"/>
    </xf>
    <xf numFmtId="44" fontId="17" fillId="2" borderId="6" xfId="1" applyFont="1" applyFill="1" applyBorder="1" applyAlignment="1">
      <alignment horizontal="right"/>
    </xf>
    <xf numFmtId="0" fontId="16" fillId="0" borderId="6" xfId="4" applyFont="1" applyFill="1" applyBorder="1" applyAlignment="1">
      <alignment horizontal="center"/>
    </xf>
    <xf numFmtId="44" fontId="17" fillId="2" borderId="6" xfId="1" applyFont="1" applyFill="1" applyBorder="1"/>
    <xf numFmtId="44" fontId="1" fillId="0" borderId="0" xfId="0" applyNumberFormat="1" applyFont="1"/>
    <xf numFmtId="164" fontId="1" fillId="0" borderId="0" xfId="0" applyNumberFormat="1" applyFont="1"/>
    <xf numFmtId="0" fontId="1" fillId="0" borderId="6" xfId="0" applyFont="1" applyBorder="1"/>
    <xf numFmtId="1" fontId="17" fillId="2" borderId="6" xfId="3" applyNumberFormat="1" applyFont="1" applyBorder="1"/>
    <xf numFmtId="1" fontId="1" fillId="0" borderId="0" xfId="0" applyNumberFormat="1" applyFont="1"/>
    <xf numFmtId="9" fontId="1" fillId="0" borderId="6" xfId="2" applyNumberFormat="1" applyFont="1" applyBorder="1"/>
    <xf numFmtId="164" fontId="1" fillId="0" borderId="6" xfId="0" applyNumberFormat="1" applyFont="1" applyBorder="1"/>
    <xf numFmtId="44" fontId="17" fillId="2" borderId="6" xfId="3" applyNumberFormat="1" applyFont="1" applyBorder="1"/>
    <xf numFmtId="0" fontId="1" fillId="0" borderId="6" xfId="0" applyNumberFormat="1" applyFont="1" applyBorder="1"/>
    <xf numFmtId="44" fontId="1" fillId="0" borderId="6" xfId="0" applyNumberFormat="1" applyFont="1" applyBorder="1"/>
    <xf numFmtId="0" fontId="1" fillId="0" borderId="0" xfId="0" applyFont="1" applyFill="1" applyBorder="1"/>
    <xf numFmtId="0" fontId="3" fillId="3" borderId="11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13" xfId="4" applyBorder="1" applyAlignment="1">
      <alignment horizontal="center"/>
    </xf>
    <xf numFmtId="0" fontId="3" fillId="3" borderId="14" xfId="4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6" fillId="3" borderId="13" xfId="4" applyFont="1" applyBorder="1" applyAlignment="1">
      <alignment horizontal="center"/>
    </xf>
    <xf numFmtId="0" fontId="16" fillId="3" borderId="14" xfId="4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5">
    <cellStyle name="Calculation" xfId="4" builtinId="22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C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Allen &amp; Overy">
      <a:dk1>
        <a:srgbClr val="000000"/>
      </a:dk1>
      <a:lt1>
        <a:srgbClr val="FFFFFF"/>
      </a:lt1>
      <a:dk2>
        <a:srgbClr val="B23427"/>
      </a:dk2>
      <a:lt2>
        <a:srgbClr val="636467"/>
      </a:lt2>
      <a:accent1>
        <a:srgbClr val="006595"/>
      </a:accent1>
      <a:accent2>
        <a:srgbClr val="679146"/>
      </a:accent2>
      <a:accent3>
        <a:srgbClr val="5C6F7B"/>
      </a:accent3>
      <a:accent4>
        <a:srgbClr val="569BBE"/>
      </a:accent4>
      <a:accent5>
        <a:srgbClr val="C7C8CA"/>
      </a:accent5>
      <a:accent6>
        <a:srgbClr val="9E6614"/>
      </a:accent6>
      <a:hlink>
        <a:srgbClr val="5C6F7B"/>
      </a:hlink>
      <a:folHlink>
        <a:srgbClr val="9AD7DB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7" sqref="B37"/>
    </sheetView>
  </sheetViews>
  <sheetFormatPr defaultRowHeight="12.75" x14ac:dyDescent="0.2"/>
  <sheetData>
    <row r="1" spans="1:1" x14ac:dyDescent="0.2">
      <c r="A1" s="54" t="s">
        <v>65</v>
      </c>
    </row>
    <row r="2" spans="1:1" x14ac:dyDescent="0.2">
      <c r="A2" s="54" t="s">
        <v>63</v>
      </c>
    </row>
    <row r="3" spans="1:1" x14ac:dyDescent="0.2">
      <c r="A3" s="5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showGridLines="0" zoomScale="90" zoomScaleNormal="90" workbookViewId="0">
      <selection activeCell="B37" sqref="B37"/>
    </sheetView>
  </sheetViews>
  <sheetFormatPr defaultRowHeight="12.75" x14ac:dyDescent="0.2"/>
  <cols>
    <col min="1" max="1" width="55" bestFit="1" customWidth="1"/>
    <col min="2" max="3" width="25" customWidth="1"/>
    <col min="9" max="9" width="45.140625" customWidth="1"/>
    <col min="10" max="10" width="14.7109375" bestFit="1" customWidth="1"/>
  </cols>
  <sheetData>
    <row r="2" spans="1:14" ht="15" x14ac:dyDescent="0.25">
      <c r="A2" s="92" t="s">
        <v>40</v>
      </c>
      <c r="B2" s="93"/>
      <c r="I2" s="4"/>
      <c r="J2" s="4"/>
      <c r="K2" s="4"/>
      <c r="L2" s="4"/>
      <c r="M2" s="4"/>
      <c r="N2" s="4"/>
    </row>
    <row r="3" spans="1:14" ht="15" x14ac:dyDescent="0.25">
      <c r="A3" s="7" t="s">
        <v>0</v>
      </c>
      <c r="B3" s="46">
        <v>1965</v>
      </c>
      <c r="I3" s="4"/>
      <c r="J3" s="4"/>
      <c r="K3" s="4"/>
      <c r="L3" s="4"/>
      <c r="M3" s="4"/>
      <c r="N3" s="4"/>
    </row>
    <row r="4" spans="1:14" ht="15" x14ac:dyDescent="0.25">
      <c r="A4" s="7" t="s">
        <v>14</v>
      </c>
      <c r="B4" s="46">
        <v>2010</v>
      </c>
      <c r="I4" s="4"/>
      <c r="J4" s="4"/>
      <c r="K4" s="4"/>
      <c r="L4" s="4"/>
      <c r="M4" s="4"/>
      <c r="N4" s="4"/>
    </row>
    <row r="5" spans="1:14" ht="15" x14ac:dyDescent="0.25">
      <c r="A5" s="27"/>
      <c r="B5" s="51"/>
      <c r="I5" s="4"/>
      <c r="J5" s="4"/>
      <c r="K5" s="4"/>
      <c r="L5" s="4"/>
      <c r="M5" s="4"/>
      <c r="N5" s="4"/>
    </row>
    <row r="6" spans="1:14" ht="15" x14ac:dyDescent="0.25">
      <c r="A6" t="s">
        <v>41</v>
      </c>
      <c r="B6" s="14">
        <v>380000</v>
      </c>
      <c r="I6" s="4"/>
      <c r="J6" s="4"/>
      <c r="K6" s="4"/>
      <c r="L6" s="4"/>
      <c r="M6" s="4"/>
      <c r="N6" s="4"/>
    </row>
    <row r="7" spans="1:14" ht="15" x14ac:dyDescent="0.25">
      <c r="A7" s="7" t="s">
        <v>26</v>
      </c>
      <c r="B7" s="14">
        <v>76000</v>
      </c>
      <c r="C7" s="54" t="s">
        <v>52</v>
      </c>
      <c r="D7" s="55" t="s">
        <v>56</v>
      </c>
      <c r="I7" s="4"/>
      <c r="J7" s="4"/>
      <c r="K7" s="4"/>
      <c r="L7" s="4"/>
      <c r="M7" s="4"/>
      <c r="N7" s="4"/>
    </row>
    <row r="8" spans="1:14" x14ac:dyDescent="0.2">
      <c r="A8" s="7" t="s">
        <v>18</v>
      </c>
      <c r="B8" s="5"/>
      <c r="I8" s="4"/>
      <c r="J8" s="4"/>
      <c r="K8" s="4"/>
      <c r="L8" s="4"/>
      <c r="M8" s="4"/>
      <c r="N8" s="4"/>
    </row>
    <row r="9" spans="1:14" ht="26.25" x14ac:dyDescent="0.25">
      <c r="A9" s="8" t="s">
        <v>20</v>
      </c>
      <c r="B9" s="14">
        <v>0</v>
      </c>
      <c r="I9" s="4"/>
      <c r="J9" s="4"/>
      <c r="K9" s="4"/>
      <c r="L9" s="4"/>
      <c r="M9" s="4"/>
      <c r="N9" s="4"/>
    </row>
    <row r="10" spans="1:14" ht="15" x14ac:dyDescent="0.25">
      <c r="A10" s="7" t="s">
        <v>35</v>
      </c>
      <c r="B10" s="14">
        <v>28000</v>
      </c>
      <c r="C10" s="48"/>
      <c r="D10" s="55" t="s">
        <v>58</v>
      </c>
      <c r="I10" s="4"/>
      <c r="J10" s="4"/>
      <c r="K10" s="4"/>
      <c r="L10" s="4"/>
      <c r="M10" s="4"/>
      <c r="N10" s="4"/>
    </row>
    <row r="11" spans="1:14" ht="15" x14ac:dyDescent="0.25">
      <c r="A11" s="7" t="s">
        <v>19</v>
      </c>
      <c r="B11" s="14">
        <v>0</v>
      </c>
      <c r="I11" s="4"/>
      <c r="J11" s="4"/>
      <c r="K11" s="4"/>
      <c r="L11" s="4"/>
      <c r="M11" s="4"/>
      <c r="N11" s="4"/>
    </row>
    <row r="12" spans="1:14" ht="27" thickBot="1" x14ac:dyDescent="0.3">
      <c r="A12" s="52" t="s">
        <v>21</v>
      </c>
      <c r="B12" s="14">
        <v>0</v>
      </c>
      <c r="I12" s="4"/>
      <c r="J12" s="4"/>
      <c r="K12" s="4"/>
      <c r="L12" s="4"/>
      <c r="M12" s="4"/>
      <c r="N12" s="4"/>
    </row>
    <row r="13" spans="1:14" ht="13.5" thickBot="1" x14ac:dyDescent="0.25">
      <c r="A13" s="23" t="s">
        <v>49</v>
      </c>
      <c r="B13" s="32">
        <f>+B12+B11+B10+B9+B6</f>
        <v>408000</v>
      </c>
      <c r="C13" s="4"/>
      <c r="I13" s="4"/>
      <c r="J13" s="4"/>
      <c r="K13" s="4"/>
      <c r="L13" s="4"/>
      <c r="M13" s="4"/>
      <c r="N13" s="4"/>
    </row>
    <row r="14" spans="1:14" x14ac:dyDescent="0.2">
      <c r="B14" s="4"/>
      <c r="C14" s="4"/>
      <c r="I14" s="4"/>
      <c r="J14" s="4"/>
      <c r="K14" s="4"/>
      <c r="L14" s="4"/>
      <c r="M14" s="4"/>
      <c r="N14" s="4"/>
    </row>
    <row r="15" spans="1:14" ht="15" x14ac:dyDescent="0.25">
      <c r="A15" s="92" t="s">
        <v>4</v>
      </c>
      <c r="B15" s="93"/>
      <c r="I15" s="4"/>
      <c r="J15" s="4"/>
      <c r="K15" s="4"/>
      <c r="L15" s="4"/>
      <c r="M15" s="4"/>
      <c r="N15" s="4"/>
    </row>
    <row r="16" spans="1:14" x14ac:dyDescent="0.2">
      <c r="A16" s="8"/>
      <c r="B16" s="18"/>
      <c r="I16" s="4"/>
      <c r="J16" s="4"/>
      <c r="K16" s="4"/>
      <c r="L16" s="4"/>
      <c r="M16" s="4"/>
      <c r="N16" s="4"/>
    </row>
    <row r="17" spans="1:14" ht="15" x14ac:dyDescent="0.25">
      <c r="A17" s="17" t="s">
        <v>42</v>
      </c>
      <c r="B17" s="20">
        <v>15000</v>
      </c>
      <c r="C17" s="54" t="s">
        <v>52</v>
      </c>
      <c r="I17" s="4"/>
      <c r="J17" s="4"/>
      <c r="K17" s="4"/>
      <c r="L17" s="4"/>
      <c r="M17" s="4"/>
      <c r="N17" s="4"/>
    </row>
    <row r="18" spans="1:14" ht="15" x14ac:dyDescent="0.25">
      <c r="A18" s="7" t="s">
        <v>7</v>
      </c>
      <c r="B18" s="13">
        <v>2010</v>
      </c>
      <c r="I18" s="4"/>
      <c r="J18" s="4"/>
      <c r="K18" s="4"/>
      <c r="L18" s="4"/>
      <c r="M18" s="4"/>
      <c r="N18" s="4"/>
    </row>
    <row r="19" spans="1:14" x14ac:dyDescent="0.2">
      <c r="B19" s="5"/>
      <c r="I19" s="4"/>
      <c r="J19" s="4"/>
      <c r="K19" s="4"/>
      <c r="L19" s="4"/>
      <c r="M19" s="4"/>
      <c r="N19" s="4"/>
    </row>
    <row r="20" spans="1:14" ht="15" x14ac:dyDescent="0.25">
      <c r="A20" s="17" t="s">
        <v>43</v>
      </c>
      <c r="B20" s="20">
        <v>5000</v>
      </c>
      <c r="C20" s="54" t="s">
        <v>52</v>
      </c>
      <c r="I20" s="4"/>
      <c r="J20" s="4"/>
      <c r="K20" s="4"/>
      <c r="L20" s="4"/>
      <c r="M20" s="4"/>
      <c r="N20" s="4"/>
    </row>
    <row r="21" spans="1:14" ht="15.75" thickBot="1" x14ac:dyDescent="0.3">
      <c r="A21" s="7" t="s">
        <v>7</v>
      </c>
      <c r="B21" s="13">
        <v>2015</v>
      </c>
      <c r="I21" s="4"/>
      <c r="J21" s="4"/>
      <c r="K21" s="4"/>
      <c r="L21" s="4"/>
      <c r="M21" s="4"/>
      <c r="N21" s="4"/>
    </row>
    <row r="22" spans="1:14" ht="13.5" thickBot="1" x14ac:dyDescent="0.25">
      <c r="A22" s="23" t="s">
        <v>48</v>
      </c>
      <c r="B22" s="32">
        <f>+B20+B17</f>
        <v>20000</v>
      </c>
      <c r="I22" s="4"/>
      <c r="J22" s="4"/>
      <c r="K22" s="4"/>
      <c r="L22" s="4"/>
      <c r="M22" s="4"/>
      <c r="N22" s="4"/>
    </row>
    <row r="23" spans="1:14" x14ac:dyDescent="0.2">
      <c r="B23" s="4"/>
      <c r="C23" s="4"/>
      <c r="I23" s="4"/>
      <c r="J23" s="4"/>
      <c r="K23" s="4"/>
      <c r="L23" s="4"/>
      <c r="M23" s="4"/>
      <c r="N23" s="4"/>
    </row>
    <row r="24" spans="1:14" ht="15" x14ac:dyDescent="0.25">
      <c r="A24" s="49" t="s">
        <v>44</v>
      </c>
      <c r="B24" s="50"/>
      <c r="I24" s="4"/>
      <c r="J24" s="4"/>
      <c r="K24" s="4"/>
      <c r="L24" s="4"/>
      <c r="M24" s="4"/>
      <c r="N24" s="4"/>
    </row>
    <row r="25" spans="1:14" x14ac:dyDescent="0.2">
      <c r="A25" s="8"/>
      <c r="B25" s="18"/>
      <c r="I25" s="4"/>
      <c r="J25" s="4"/>
      <c r="K25" s="4"/>
      <c r="L25" s="4"/>
      <c r="M25" s="4"/>
      <c r="N25" s="4"/>
    </row>
    <row r="26" spans="1:14" ht="15" x14ac:dyDescent="0.25">
      <c r="A26" s="17" t="s">
        <v>45</v>
      </c>
      <c r="B26" s="20">
        <v>6000</v>
      </c>
      <c r="C26" s="54" t="s">
        <v>53</v>
      </c>
      <c r="I26" s="4"/>
      <c r="J26" s="4"/>
      <c r="K26" s="4"/>
      <c r="L26" s="4"/>
      <c r="M26" s="4"/>
      <c r="N26" s="4"/>
    </row>
    <row r="27" spans="1:14" ht="15" x14ac:dyDescent="0.25">
      <c r="A27" s="7" t="s">
        <v>7</v>
      </c>
      <c r="B27" s="13">
        <v>2017</v>
      </c>
      <c r="I27" s="4"/>
      <c r="J27" s="4"/>
      <c r="K27" s="4"/>
      <c r="L27" s="4"/>
      <c r="M27" s="4"/>
      <c r="N27" s="4"/>
    </row>
    <row r="28" spans="1:14" x14ac:dyDescent="0.2">
      <c r="B28" s="5"/>
      <c r="I28" s="4"/>
      <c r="J28" s="4"/>
      <c r="K28" s="4"/>
      <c r="L28" s="4"/>
      <c r="M28" s="4"/>
      <c r="N28" s="4"/>
    </row>
    <row r="29" spans="1:14" ht="15" x14ac:dyDescent="0.25">
      <c r="A29" s="17" t="s">
        <v>46</v>
      </c>
      <c r="B29" s="20"/>
      <c r="I29" s="4"/>
      <c r="J29" s="4"/>
      <c r="K29" s="4"/>
      <c r="L29" s="4"/>
      <c r="M29" s="4"/>
      <c r="N29" s="4"/>
    </row>
    <row r="30" spans="1:14" ht="15.75" thickBot="1" x14ac:dyDescent="0.3">
      <c r="A30" s="7" t="s">
        <v>7</v>
      </c>
      <c r="B30" s="13"/>
      <c r="I30" s="4"/>
      <c r="J30" s="4"/>
      <c r="K30" s="4"/>
      <c r="L30" s="4"/>
      <c r="M30" s="4"/>
      <c r="N30" s="4"/>
    </row>
    <row r="31" spans="1:14" ht="13.5" thickBot="1" x14ac:dyDescent="0.25">
      <c r="A31" s="23" t="s">
        <v>50</v>
      </c>
      <c r="B31" s="32">
        <f>+B29+B26</f>
        <v>6000</v>
      </c>
      <c r="C31" s="54" t="s">
        <v>53</v>
      </c>
      <c r="D31" s="55" t="s">
        <v>54</v>
      </c>
      <c r="I31" s="4"/>
      <c r="J31" s="4"/>
      <c r="K31" s="4"/>
      <c r="L31" s="4"/>
      <c r="M31" s="4"/>
      <c r="N31" s="4"/>
    </row>
    <row r="32" spans="1:14" ht="13.5" thickBot="1" x14ac:dyDescent="0.25">
      <c r="B32" s="53"/>
      <c r="I32" s="4"/>
      <c r="J32" s="4"/>
      <c r="K32" s="4"/>
      <c r="L32" s="4"/>
      <c r="M32" s="4"/>
      <c r="N32" s="4"/>
    </row>
    <row r="33" spans="1:14" ht="13.5" thickBot="1" x14ac:dyDescent="0.25">
      <c r="A33" s="23" t="s">
        <v>8</v>
      </c>
      <c r="B33" s="32">
        <f>+B13*VLOOKUP(MAX(B4,B3),BarèmeLIR!$A$1:$B$172,2,FALSE)+B17*VLOOKUP(B18,BarèmeLIR!$A$1:$B$172,2,FALSE)+B20*VLOOKUP(B21,BarèmeLIR!$A$1:$B$172,2,FALSE)</f>
        <v>483189.99999999994</v>
      </c>
      <c r="C33" s="54" t="s">
        <v>53</v>
      </c>
      <c r="D33" s="55" t="s">
        <v>55</v>
      </c>
      <c r="I33" s="4"/>
      <c r="J33" s="4"/>
      <c r="K33" s="4"/>
      <c r="L33" s="4"/>
      <c r="M33" s="4"/>
      <c r="N33" s="4"/>
    </row>
    <row r="34" spans="1:14" ht="13.5" thickBot="1" x14ac:dyDescent="0.25">
      <c r="B34" s="5"/>
      <c r="I34" s="4"/>
      <c r="J34" s="4"/>
      <c r="K34" s="4"/>
      <c r="L34" s="4"/>
      <c r="M34" s="4"/>
      <c r="N34" s="4"/>
    </row>
    <row r="35" spans="1:14" ht="13.5" thickBot="1" x14ac:dyDescent="0.25">
      <c r="A35" s="6" t="s">
        <v>51</v>
      </c>
      <c r="B35" s="47">
        <f ca="1">+MIN(-(ROUNDDOWN(IF((B4-15)&gt;B3,YEAR(NOW())-B4,MAX(0,YEAR(NOW())-15-B3)),0)/2*2%)*(B33-B7*VLOOKUP(MAX(B4,B3),BarèmeLIR!$A$1:$B$172,2,FALSE)-B10*VLOOKUP(MAX(B4,B3),BarèmeLIR!$A$1:$B$172,2,FALSE))+B31*VLOOKUP(B27,BarèmeLIR!$A$1:$B$172,2,FALSE),0)</f>
        <v>-34103.699999999997</v>
      </c>
      <c r="C35" s="54" t="s">
        <v>53</v>
      </c>
      <c r="D35" s="55" t="s">
        <v>57</v>
      </c>
      <c r="I35" s="4"/>
      <c r="J35" s="4"/>
      <c r="K35" s="4"/>
      <c r="L35" s="4"/>
      <c r="M35" s="4"/>
      <c r="N35" s="4"/>
    </row>
    <row r="36" spans="1:14" ht="13.5" thickBot="1" x14ac:dyDescent="0.25">
      <c r="B36" s="5"/>
      <c r="I36" s="4"/>
      <c r="J36" s="4"/>
      <c r="K36" s="4"/>
      <c r="L36" s="4"/>
      <c r="M36" s="4"/>
      <c r="N36" s="4"/>
    </row>
    <row r="37" spans="1:14" ht="13.5" thickBot="1" x14ac:dyDescent="0.25">
      <c r="A37" s="6" t="s">
        <v>27</v>
      </c>
      <c r="B37" s="34">
        <f ca="1">+B33+B35</f>
        <v>449086.29999999993</v>
      </c>
      <c r="C37" s="1"/>
      <c r="D37" s="1"/>
      <c r="M37" s="4"/>
      <c r="N37" s="4"/>
    </row>
    <row r="38" spans="1:14" ht="13.5" thickBot="1" x14ac:dyDescent="0.25">
      <c r="A38" s="6" t="s">
        <v>13</v>
      </c>
      <c r="B38" s="33">
        <f ca="1">+B37*5%/12</f>
        <v>1871.1929166666666</v>
      </c>
      <c r="C38" s="54" t="s">
        <v>52</v>
      </c>
      <c r="D38" s="1"/>
      <c r="M38" s="10"/>
      <c r="N38" s="4"/>
    </row>
    <row r="39" spans="1:14" x14ac:dyDescent="0.2">
      <c r="C39" s="1"/>
      <c r="D39" s="1"/>
      <c r="M39" s="4"/>
      <c r="N39" s="4"/>
    </row>
  </sheetData>
  <mergeCells count="2">
    <mergeCell ref="A2:B2"/>
    <mergeCell ref="A15:B15"/>
  </mergeCells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&amp;L&amp;"Arial"&amp;8 0130381-0000002 EUO3: 2000365387: 1&amp;C&amp;"Arial"&amp;8&amp;P&amp;R&amp;"Arial"&amp;8&amp;D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0.39997558519241921"/>
  </sheetPr>
  <dimension ref="A2:N35"/>
  <sheetViews>
    <sheetView workbookViewId="0">
      <selection activeCell="B37" sqref="B37"/>
    </sheetView>
  </sheetViews>
  <sheetFormatPr defaultRowHeight="12.75" x14ac:dyDescent="0.2"/>
  <cols>
    <col min="1" max="1" width="47.42578125" customWidth="1"/>
    <col min="2" max="3" width="25" customWidth="1"/>
    <col min="9" max="9" width="45.140625" customWidth="1"/>
    <col min="10" max="10" width="14.7109375" bestFit="1" customWidth="1"/>
  </cols>
  <sheetData>
    <row r="2" spans="1:14" x14ac:dyDescent="0.2">
      <c r="I2" s="4"/>
      <c r="J2" s="4"/>
      <c r="K2" s="4"/>
      <c r="L2" s="4"/>
      <c r="M2" s="4"/>
      <c r="N2" s="4"/>
    </row>
    <row r="3" spans="1:14" ht="15.75" thickBot="1" x14ac:dyDescent="0.3">
      <c r="A3" s="92" t="s">
        <v>32</v>
      </c>
      <c r="B3" s="93"/>
      <c r="C3" s="1"/>
      <c r="D3" s="1"/>
      <c r="I3" s="4"/>
      <c r="J3" s="4"/>
      <c r="K3" s="4"/>
      <c r="L3" s="4"/>
      <c r="M3" s="4"/>
      <c r="N3" s="4"/>
    </row>
    <row r="4" spans="1:14" ht="30.75" customHeight="1" x14ac:dyDescent="0.2">
      <c r="A4" s="8" t="s">
        <v>30</v>
      </c>
      <c r="B4" s="18">
        <f>IF(J12=0,J24,J12)</f>
        <v>408000</v>
      </c>
      <c r="C4" s="1"/>
      <c r="D4" s="1"/>
      <c r="I4" s="98" t="s">
        <v>23</v>
      </c>
      <c r="J4" s="99"/>
      <c r="K4" s="10"/>
      <c r="L4" s="10"/>
      <c r="M4" s="10"/>
      <c r="N4" s="4"/>
    </row>
    <row r="5" spans="1:14" ht="15" x14ac:dyDescent="0.25">
      <c r="A5" s="7" t="s">
        <v>5</v>
      </c>
      <c r="B5" s="18">
        <f>IF(J6=0,J17,J6)</f>
        <v>76000</v>
      </c>
      <c r="C5" s="1"/>
      <c r="D5" s="1"/>
      <c r="I5" s="7" t="s">
        <v>16</v>
      </c>
      <c r="J5" s="12"/>
      <c r="K5" s="4"/>
      <c r="L5" s="4"/>
      <c r="M5" s="4"/>
      <c r="N5" s="4"/>
    </row>
    <row r="6" spans="1:14" ht="15" x14ac:dyDescent="0.25">
      <c r="A6" s="7" t="s">
        <v>0</v>
      </c>
      <c r="B6" s="5">
        <f>IF(J7=0,J18,J7)</f>
        <v>2000</v>
      </c>
      <c r="C6" s="1"/>
      <c r="D6" s="1"/>
      <c r="I6" s="7" t="s">
        <v>17</v>
      </c>
      <c r="J6" s="12"/>
      <c r="K6" s="4"/>
      <c r="L6" s="4"/>
      <c r="M6" s="4"/>
      <c r="N6" s="4"/>
    </row>
    <row r="7" spans="1:14" ht="15" x14ac:dyDescent="0.25">
      <c r="A7" s="7" t="s">
        <v>6</v>
      </c>
      <c r="B7" s="19">
        <f>VLOOKUP(B6,BarèmeLIR!$A$1:$B$172,2,FALSE)</f>
        <v>1.4</v>
      </c>
      <c r="C7" s="1"/>
      <c r="D7" s="1"/>
      <c r="I7" s="7" t="s">
        <v>0</v>
      </c>
      <c r="J7" s="13"/>
      <c r="K7" s="4"/>
      <c r="L7" s="4"/>
      <c r="M7" s="4"/>
      <c r="N7" s="4"/>
    </row>
    <row r="8" spans="1:14" x14ac:dyDescent="0.2">
      <c r="A8" s="7" t="s">
        <v>8</v>
      </c>
      <c r="B8" s="18">
        <f>(B4*B7)</f>
        <v>571200</v>
      </c>
      <c r="C8" s="1"/>
      <c r="D8" s="1"/>
      <c r="I8" s="7" t="s">
        <v>18</v>
      </c>
      <c r="J8" s="5"/>
      <c r="K8" s="4"/>
      <c r="L8" s="4"/>
      <c r="M8" s="4"/>
      <c r="N8" s="4"/>
    </row>
    <row r="9" spans="1:14" ht="38.25" customHeight="1" x14ac:dyDescent="0.25">
      <c r="A9" s="7"/>
      <c r="B9" s="19"/>
      <c r="C9" s="1"/>
      <c r="D9" s="1"/>
      <c r="I9" s="8" t="s">
        <v>20</v>
      </c>
      <c r="J9" s="14">
        <v>0</v>
      </c>
      <c r="K9" s="4"/>
      <c r="L9" s="4"/>
      <c r="M9" s="4"/>
      <c r="N9" s="4"/>
    </row>
    <row r="10" spans="1:14" ht="15" x14ac:dyDescent="0.25">
      <c r="A10" s="17" t="s">
        <v>4</v>
      </c>
      <c r="B10" s="20">
        <v>15000</v>
      </c>
      <c r="C10" s="1"/>
      <c r="D10" s="1"/>
      <c r="I10" s="7" t="s">
        <v>35</v>
      </c>
      <c r="J10" s="14">
        <v>0</v>
      </c>
      <c r="K10" s="4"/>
      <c r="L10" s="4"/>
      <c r="M10" s="4"/>
      <c r="N10" s="4"/>
    </row>
    <row r="11" spans="1:14" ht="15" x14ac:dyDescent="0.25">
      <c r="A11" s="7" t="s">
        <v>7</v>
      </c>
      <c r="B11" s="13">
        <v>2000</v>
      </c>
      <c r="C11" s="1"/>
      <c r="D11" s="1"/>
      <c r="I11" s="7" t="s">
        <v>19</v>
      </c>
      <c r="J11" s="14">
        <v>0</v>
      </c>
      <c r="K11" s="4"/>
      <c r="L11" s="4"/>
      <c r="M11" s="4"/>
      <c r="N11" s="4"/>
    </row>
    <row r="12" spans="1:14" ht="15" x14ac:dyDescent="0.25">
      <c r="A12" s="7" t="s">
        <v>6</v>
      </c>
      <c r="B12" s="21">
        <f>VLOOKUP(B11,BarèmeLIR!$A$1:$B$172,2,FALSE)</f>
        <v>1.4</v>
      </c>
      <c r="C12" s="1"/>
      <c r="D12" s="1"/>
      <c r="I12" s="17" t="s">
        <v>22</v>
      </c>
      <c r="J12" s="14">
        <f>SUM(J5:J6,J9,J10,J11)</f>
        <v>0</v>
      </c>
      <c r="K12" s="4"/>
      <c r="L12" s="4"/>
      <c r="M12" s="4"/>
      <c r="N12" s="4"/>
    </row>
    <row r="13" spans="1:14" ht="13.5" thickBot="1" x14ac:dyDescent="0.25">
      <c r="A13" s="7" t="s">
        <v>2</v>
      </c>
      <c r="B13" s="22">
        <f>B10*B12</f>
        <v>21000</v>
      </c>
      <c r="C13" s="1"/>
      <c r="D13" s="1"/>
      <c r="I13" s="3"/>
      <c r="J13" s="5"/>
      <c r="K13" s="4"/>
      <c r="L13" s="4"/>
      <c r="M13" s="4"/>
      <c r="N13" s="4"/>
    </row>
    <row r="14" spans="1:14" ht="13.5" thickBot="1" x14ac:dyDescent="0.25">
      <c r="A14" s="7"/>
      <c r="B14" s="19"/>
      <c r="C14" s="1"/>
      <c r="D14" s="1"/>
      <c r="I14" s="100" t="s">
        <v>25</v>
      </c>
      <c r="J14" s="101"/>
      <c r="K14" s="4"/>
      <c r="L14" s="4"/>
      <c r="M14" s="4"/>
      <c r="N14" s="4"/>
    </row>
    <row r="15" spans="1:14" ht="13.5" thickBot="1" x14ac:dyDescent="0.25">
      <c r="A15" s="23" t="s">
        <v>31</v>
      </c>
      <c r="B15" s="32">
        <f>SUM(B8,B13)</f>
        <v>592200</v>
      </c>
      <c r="C15" s="9"/>
      <c r="D15" s="9"/>
      <c r="E15" s="4"/>
      <c r="I15" s="96" t="s">
        <v>24</v>
      </c>
      <c r="J15" s="97"/>
      <c r="K15" s="10"/>
      <c r="L15" s="10"/>
      <c r="M15" s="10"/>
      <c r="N15" s="4"/>
    </row>
    <row r="16" spans="1:14" ht="15" x14ac:dyDescent="0.25">
      <c r="A16" s="1"/>
      <c r="B16" s="1"/>
      <c r="C16" s="9"/>
      <c r="D16" s="9"/>
      <c r="E16" s="4"/>
      <c r="I16" s="7" t="s">
        <v>15</v>
      </c>
      <c r="J16" s="14">
        <v>380000</v>
      </c>
      <c r="K16" s="4"/>
      <c r="L16" s="4"/>
      <c r="M16" s="4"/>
      <c r="N16" s="4"/>
    </row>
    <row r="17" spans="1:14" ht="15.75" thickBot="1" x14ac:dyDescent="0.3">
      <c r="A17" s="1"/>
      <c r="B17" s="1"/>
      <c r="C17" s="11"/>
      <c r="D17" s="11"/>
      <c r="E17" s="26"/>
      <c r="I17" s="7" t="s">
        <v>26</v>
      </c>
      <c r="J17" s="14">
        <v>76000</v>
      </c>
      <c r="K17" s="4"/>
      <c r="L17" s="4"/>
      <c r="M17" s="4"/>
      <c r="N17" s="4"/>
    </row>
    <row r="18" spans="1:14" ht="15" x14ac:dyDescent="0.25">
      <c r="A18" s="94" t="s">
        <v>3</v>
      </c>
      <c r="B18" s="95"/>
      <c r="C18" s="27"/>
      <c r="D18" s="27"/>
      <c r="E18" s="26"/>
      <c r="I18" s="7" t="s">
        <v>14</v>
      </c>
      <c r="J18" s="13">
        <v>2000</v>
      </c>
      <c r="K18" s="4"/>
      <c r="L18" s="4"/>
      <c r="M18" s="4"/>
      <c r="N18" s="4"/>
    </row>
    <row r="19" spans="1:14" x14ac:dyDescent="0.2">
      <c r="A19" s="7" t="s">
        <v>9</v>
      </c>
      <c r="B19" s="28">
        <f ca="1">IF(((YEAR(NOW())-B6)-15)&lt;0,0,((YEAR(NOW())-B6)-15))</f>
        <v>6</v>
      </c>
      <c r="C19" s="11"/>
      <c r="D19" s="11"/>
      <c r="E19" s="26"/>
      <c r="I19" s="7" t="s">
        <v>18</v>
      </c>
      <c r="K19" s="4"/>
      <c r="L19" s="4"/>
      <c r="M19" s="4"/>
      <c r="N19" s="4"/>
    </row>
    <row r="20" spans="1:14" ht="26.25" x14ac:dyDescent="0.25">
      <c r="A20" s="7" t="s">
        <v>10</v>
      </c>
      <c r="B20" s="19">
        <f ca="1">ROUNDDOWN((B19/2),0)</f>
        <v>3</v>
      </c>
      <c r="C20" s="11"/>
      <c r="D20" s="11"/>
      <c r="E20" s="26"/>
      <c r="I20" s="8" t="s">
        <v>20</v>
      </c>
      <c r="J20" s="14">
        <v>0</v>
      </c>
      <c r="K20" s="4"/>
      <c r="L20" s="4"/>
      <c r="M20" s="4"/>
      <c r="N20" s="4"/>
    </row>
    <row r="21" spans="1:14" ht="15" x14ac:dyDescent="0.25">
      <c r="A21" s="7" t="s">
        <v>33</v>
      </c>
      <c r="B21" s="29">
        <f ca="1">B20*0.02</f>
        <v>0.06</v>
      </c>
      <c r="C21" s="26"/>
      <c r="D21" s="26"/>
      <c r="E21" s="26"/>
      <c r="I21" s="7" t="s">
        <v>35</v>
      </c>
      <c r="J21" s="14">
        <v>28000</v>
      </c>
      <c r="K21" s="4"/>
      <c r="L21" s="4"/>
      <c r="M21" s="4"/>
      <c r="N21" s="4"/>
    </row>
    <row r="22" spans="1:14" ht="15" x14ac:dyDescent="0.25">
      <c r="A22" s="7" t="s">
        <v>3</v>
      </c>
      <c r="B22" s="30">
        <f ca="1">((B15-(B5*B7))*B21)</f>
        <v>29148</v>
      </c>
      <c r="C22" s="26"/>
      <c r="D22" s="26"/>
      <c r="E22" s="26"/>
      <c r="I22" s="7" t="s">
        <v>19</v>
      </c>
      <c r="J22" s="14">
        <v>0</v>
      </c>
      <c r="K22" s="4"/>
      <c r="L22" s="4"/>
      <c r="M22" s="4"/>
      <c r="N22" s="4"/>
    </row>
    <row r="23" spans="1:14" ht="26.25" x14ac:dyDescent="0.25">
      <c r="A23" s="24" t="s">
        <v>34</v>
      </c>
      <c r="B23" s="20">
        <v>0</v>
      </c>
      <c r="C23" s="26"/>
      <c r="D23" s="26"/>
      <c r="E23" s="26"/>
      <c r="I23" s="8" t="s">
        <v>21</v>
      </c>
      <c r="J23" s="14">
        <v>0</v>
      </c>
      <c r="K23" s="4"/>
      <c r="L23" s="4"/>
      <c r="M23" s="4"/>
      <c r="N23" s="4"/>
    </row>
    <row r="24" spans="1:14" ht="13.5" thickBot="1" x14ac:dyDescent="0.25">
      <c r="A24" s="3"/>
      <c r="B24" s="5"/>
      <c r="C24" s="26"/>
      <c r="D24" s="26"/>
      <c r="E24" s="26"/>
      <c r="I24" s="16" t="s">
        <v>22</v>
      </c>
      <c r="J24" s="15">
        <f>SUM(J16,,J20,J21,J22,J23)</f>
        <v>408000</v>
      </c>
      <c r="K24" s="4"/>
      <c r="L24" s="4"/>
      <c r="M24" s="4"/>
      <c r="N24" s="4"/>
    </row>
    <row r="25" spans="1:14" ht="13.5" thickBot="1" x14ac:dyDescent="0.25">
      <c r="A25" s="17" t="s">
        <v>11</v>
      </c>
      <c r="B25" s="31">
        <f ca="1">IF((B22-B23)&gt;0,(B22-B23),"0")</f>
        <v>29148</v>
      </c>
      <c r="C25" s="26"/>
      <c r="D25" s="26"/>
      <c r="E25" s="26"/>
      <c r="I25" s="4"/>
      <c r="J25" s="4"/>
      <c r="K25" s="4"/>
      <c r="L25" s="4"/>
      <c r="M25" s="4"/>
      <c r="N25" s="4"/>
    </row>
    <row r="26" spans="1:14" ht="13.5" thickBot="1" x14ac:dyDescent="0.25">
      <c r="A26" s="25" t="s">
        <v>12</v>
      </c>
      <c r="B26" s="15" t="str">
        <f ca="1">IF((B22-B23)&lt;0,-(B22-B23),"N/A")</f>
        <v>N/A</v>
      </c>
      <c r="C26" s="26"/>
      <c r="D26" s="26"/>
      <c r="E26" s="26"/>
      <c r="I26" s="4"/>
      <c r="J26" s="4"/>
      <c r="K26" s="4"/>
      <c r="L26" s="4"/>
      <c r="M26" s="4"/>
      <c r="N26" s="4"/>
    </row>
    <row r="27" spans="1:14" ht="13.5" thickBot="1" x14ac:dyDescent="0.25">
      <c r="C27" s="26"/>
      <c r="D27" s="26"/>
      <c r="E27" s="26"/>
      <c r="I27" s="4"/>
      <c r="J27" s="4"/>
      <c r="K27" s="4"/>
      <c r="L27" s="4"/>
      <c r="M27" s="4"/>
      <c r="N27" s="4"/>
    </row>
    <row r="28" spans="1:14" ht="13.5" thickBot="1" x14ac:dyDescent="0.25">
      <c r="A28" s="6" t="s">
        <v>13</v>
      </c>
      <c r="B28" s="33">
        <f ca="1">((B15-B25)*0.05)/12</f>
        <v>2346.0500000000002</v>
      </c>
      <c r="C28" s="4"/>
      <c r="D28" s="4"/>
      <c r="E28" s="4"/>
      <c r="I28" s="4"/>
      <c r="J28" s="4"/>
      <c r="K28" s="4"/>
      <c r="L28" s="4"/>
      <c r="M28" s="4"/>
      <c r="N28" s="4"/>
    </row>
    <row r="29" spans="1:14" ht="13.5" thickBot="1" x14ac:dyDescent="0.25">
      <c r="A29" s="6" t="s">
        <v>27</v>
      </c>
      <c r="B29" s="34">
        <f ca="1">B15-B25</f>
        <v>563052</v>
      </c>
      <c r="C29" s="4"/>
      <c r="D29" s="4"/>
      <c r="E29" s="4"/>
    </row>
    <row r="35" spans="1:1" x14ac:dyDescent="0.2">
      <c r="A35" t="s">
        <v>1</v>
      </c>
    </row>
  </sheetData>
  <mergeCells count="5">
    <mergeCell ref="A3:B3"/>
    <mergeCell ref="A18:B18"/>
    <mergeCell ref="I15:J15"/>
    <mergeCell ref="I4:J4"/>
    <mergeCell ref="I14:J1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&amp;L&amp;"Arial"&amp;8 0130381-0000002 EUO3: 2000365387: 1&amp;C&amp;"Arial"&amp;8&amp;P&amp;R&amp;"Arial"&amp;8&amp;D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3"/>
  <sheetViews>
    <sheetView showGridLines="0" tabSelected="1" zoomScale="96" zoomScaleNormal="96" workbookViewId="0">
      <selection activeCell="B4" sqref="B4"/>
    </sheetView>
  </sheetViews>
  <sheetFormatPr defaultRowHeight="12.75" x14ac:dyDescent="0.2"/>
  <cols>
    <col min="1" max="1" width="9.140625" style="54"/>
    <col min="2" max="2" width="73.140625" style="54" bestFit="1" customWidth="1"/>
    <col min="3" max="4" width="25" style="54" customWidth="1"/>
    <col min="5" max="5" width="13.42578125" style="54" bestFit="1" customWidth="1"/>
    <col min="6" max="6" width="9.140625" style="54"/>
    <col min="7" max="7" width="13.42578125" style="54" bestFit="1" customWidth="1"/>
    <col min="8" max="9" width="9.140625" style="54"/>
    <col min="10" max="10" width="45.140625" style="54" customWidth="1"/>
    <col min="11" max="11" width="14.7109375" style="54" bestFit="1" customWidth="1"/>
    <col min="12" max="16384" width="9.140625" style="54"/>
  </cols>
  <sheetData>
    <row r="1" spans="2:15" ht="3.75" customHeight="1" x14ac:dyDescent="0.2"/>
    <row r="2" spans="2:15" ht="25.5" customHeight="1" x14ac:dyDescent="0.2">
      <c r="B2" s="72" t="s">
        <v>73</v>
      </c>
    </row>
    <row r="3" spans="2:15" ht="10.5" customHeight="1" thickBot="1" x14ac:dyDescent="0.25"/>
    <row r="4" spans="2:15" ht="15.75" thickBot="1" x14ac:dyDescent="0.3">
      <c r="B4" s="73" t="s">
        <v>59</v>
      </c>
      <c r="C4" s="74"/>
    </row>
    <row r="5" spans="2:15" ht="12.75" customHeight="1" thickBot="1" x14ac:dyDescent="0.25"/>
    <row r="6" spans="2:15" ht="15" x14ac:dyDescent="0.25">
      <c r="B6" s="102" t="s">
        <v>40</v>
      </c>
      <c r="C6" s="103"/>
      <c r="D6" s="2"/>
      <c r="J6" s="75"/>
      <c r="K6" s="75"/>
      <c r="L6" s="75"/>
      <c r="M6" s="75"/>
      <c r="N6" s="75"/>
      <c r="O6" s="75"/>
    </row>
    <row r="7" spans="2:15" ht="15" x14ac:dyDescent="0.25">
      <c r="B7" s="76"/>
      <c r="C7" s="77"/>
      <c r="J7" s="75"/>
      <c r="K7" s="75"/>
      <c r="L7" s="75"/>
      <c r="M7" s="75"/>
      <c r="N7" s="75"/>
      <c r="O7" s="75"/>
    </row>
    <row r="8" spans="2:15" ht="14.25" x14ac:dyDescent="0.2">
      <c r="B8" s="56" t="s">
        <v>62</v>
      </c>
      <c r="C8" s="78" t="s">
        <v>64</v>
      </c>
      <c r="J8" s="75"/>
      <c r="K8" s="75"/>
      <c r="L8" s="75"/>
      <c r="M8" s="75"/>
      <c r="N8" s="75"/>
      <c r="O8" s="75"/>
    </row>
    <row r="9" spans="2:15" ht="15" x14ac:dyDescent="0.25">
      <c r="B9" s="56"/>
      <c r="C9" s="79"/>
      <c r="J9" s="75"/>
      <c r="K9" s="75"/>
      <c r="L9" s="75"/>
      <c r="M9" s="75"/>
      <c r="N9" s="75"/>
      <c r="O9" s="75"/>
    </row>
    <row r="10" spans="2:15" ht="15" x14ac:dyDescent="0.25">
      <c r="B10" s="57" t="s">
        <v>80</v>
      </c>
      <c r="C10" s="79"/>
      <c r="J10" s="75"/>
      <c r="K10" s="75"/>
      <c r="L10" s="75"/>
      <c r="M10" s="75"/>
      <c r="N10" s="75"/>
      <c r="O10" s="75"/>
    </row>
    <row r="11" spans="2:15" ht="14.25" x14ac:dyDescent="0.2">
      <c r="B11" s="56" t="s">
        <v>83</v>
      </c>
      <c r="C11" s="80">
        <f>+IF(C8="Non",20%*C12,"Saisir part du terrain ici")</f>
        <v>0</v>
      </c>
      <c r="D11" s="55"/>
      <c r="J11" s="75"/>
      <c r="K11" s="75"/>
      <c r="L11" s="75"/>
      <c r="M11" s="75"/>
      <c r="N11" s="75"/>
      <c r="O11" s="75"/>
    </row>
    <row r="12" spans="2:15" ht="14.25" x14ac:dyDescent="0.2">
      <c r="B12" s="56" t="s">
        <v>82</v>
      </c>
      <c r="C12" s="80">
        <v>0</v>
      </c>
      <c r="D12" s="55"/>
      <c r="E12" s="81"/>
      <c r="G12" s="82"/>
      <c r="J12" s="75"/>
      <c r="K12" s="75"/>
      <c r="L12" s="75"/>
      <c r="M12" s="75"/>
      <c r="N12" s="75"/>
      <c r="O12" s="75"/>
    </row>
    <row r="13" spans="2:15" x14ac:dyDescent="0.2">
      <c r="B13" s="56"/>
      <c r="C13" s="5"/>
      <c r="D13" s="55"/>
      <c r="E13" s="81"/>
      <c r="G13" s="82"/>
      <c r="J13" s="75"/>
      <c r="K13" s="75"/>
      <c r="L13" s="75"/>
      <c r="M13" s="75"/>
      <c r="N13" s="75"/>
      <c r="O13" s="75"/>
    </row>
    <row r="14" spans="2:15" x14ac:dyDescent="0.2">
      <c r="B14" s="57" t="s">
        <v>81</v>
      </c>
      <c r="C14" s="83"/>
      <c r="D14" s="81"/>
      <c r="J14" s="75"/>
      <c r="K14" s="75"/>
      <c r="L14" s="75"/>
      <c r="M14" s="75"/>
      <c r="N14" s="75"/>
      <c r="O14" s="75"/>
    </row>
    <row r="15" spans="2:15" ht="14.25" x14ac:dyDescent="0.2">
      <c r="B15" s="52" t="s">
        <v>66</v>
      </c>
      <c r="C15" s="80">
        <v>0</v>
      </c>
      <c r="D15" s="55"/>
      <c r="J15" s="75"/>
      <c r="K15" s="75"/>
      <c r="L15" s="75"/>
      <c r="M15" s="75"/>
      <c r="N15" s="75"/>
      <c r="O15" s="75"/>
    </row>
    <row r="16" spans="2:15" ht="14.25" x14ac:dyDescent="0.2">
      <c r="B16" s="56" t="s">
        <v>60</v>
      </c>
      <c r="C16" s="80">
        <v>0</v>
      </c>
      <c r="D16" s="55"/>
      <c r="J16" s="75"/>
      <c r="K16" s="75"/>
      <c r="L16" s="75"/>
      <c r="M16" s="75"/>
      <c r="N16" s="75"/>
      <c r="O16" s="75"/>
    </row>
    <row r="17" spans="2:15" ht="14.25" x14ac:dyDescent="0.2">
      <c r="B17" s="56" t="s">
        <v>61</v>
      </c>
      <c r="C17" s="80">
        <v>0</v>
      </c>
      <c r="D17" s="55"/>
      <c r="J17" s="75"/>
      <c r="K17" s="75"/>
      <c r="L17" s="75"/>
      <c r="M17" s="75"/>
      <c r="N17" s="75"/>
      <c r="O17" s="75"/>
    </row>
    <row r="18" spans="2:15" ht="15" thickBot="1" x14ac:dyDescent="0.25">
      <c r="B18" s="56" t="s">
        <v>19</v>
      </c>
      <c r="C18" s="80">
        <v>0</v>
      </c>
      <c r="D18" s="55"/>
      <c r="J18" s="75"/>
      <c r="K18" s="75"/>
      <c r="L18" s="75"/>
      <c r="M18" s="75"/>
      <c r="N18" s="75"/>
      <c r="O18" s="75"/>
    </row>
    <row r="19" spans="2:15" ht="13.5" thickBot="1" x14ac:dyDescent="0.25">
      <c r="B19" s="23" t="s">
        <v>71</v>
      </c>
      <c r="C19" s="32">
        <f>+C12+C15+C16+C17+C18</f>
        <v>0</v>
      </c>
      <c r="D19" s="75"/>
      <c r="J19" s="75"/>
      <c r="K19" s="75"/>
      <c r="L19" s="75"/>
      <c r="M19" s="75"/>
      <c r="N19" s="75"/>
      <c r="O19" s="75"/>
    </row>
    <row r="20" spans="2:15" x14ac:dyDescent="0.2">
      <c r="B20" s="56"/>
      <c r="C20" s="83"/>
      <c r="J20" s="75"/>
      <c r="K20" s="75"/>
      <c r="L20" s="75"/>
      <c r="M20" s="75"/>
      <c r="N20" s="75"/>
      <c r="O20" s="75"/>
    </row>
    <row r="21" spans="2:15" ht="14.25" x14ac:dyDescent="0.2">
      <c r="B21" s="56" t="s">
        <v>0</v>
      </c>
      <c r="C21" s="84"/>
      <c r="J21" s="75"/>
      <c r="K21" s="75"/>
      <c r="L21" s="75"/>
      <c r="M21" s="75"/>
      <c r="N21" s="75"/>
      <c r="O21" s="75"/>
    </row>
    <row r="22" spans="2:15" ht="14.25" x14ac:dyDescent="0.2">
      <c r="B22" s="56" t="s">
        <v>14</v>
      </c>
      <c r="C22" s="84"/>
      <c r="J22" s="75"/>
      <c r="K22" s="75"/>
      <c r="L22" s="75"/>
      <c r="M22" s="75"/>
      <c r="N22" s="75"/>
      <c r="O22" s="75"/>
    </row>
    <row r="23" spans="2:15" ht="13.5" thickBot="1" x14ac:dyDescent="0.25">
      <c r="B23" s="56" t="s">
        <v>6</v>
      </c>
      <c r="C23" s="83">
        <f>IFERROR(VLOOKUP(MAX(C22,C21),BarèmeLIR!$A$1:$B$172,2,FALSE),1)</f>
        <v>1</v>
      </c>
      <c r="D23" s="55"/>
      <c r="J23" s="75"/>
      <c r="K23" s="75"/>
      <c r="L23" s="75"/>
      <c r="M23" s="75"/>
      <c r="N23" s="75"/>
      <c r="O23" s="75"/>
    </row>
    <row r="24" spans="2:15" ht="13.5" thickBot="1" x14ac:dyDescent="0.25">
      <c r="B24" s="23" t="s">
        <v>70</v>
      </c>
      <c r="C24" s="32">
        <f>+C23*C19</f>
        <v>0</v>
      </c>
      <c r="J24" s="75"/>
      <c r="K24" s="75"/>
      <c r="L24" s="75"/>
      <c r="M24" s="75"/>
      <c r="N24" s="75"/>
      <c r="O24" s="75"/>
    </row>
    <row r="25" spans="2:15" x14ac:dyDescent="0.2">
      <c r="B25" s="56" t="s">
        <v>9</v>
      </c>
      <c r="C25" s="28" t="str">
        <f>+IF(C4="","",IF((C22-15)&gt;C21,YEAR(C4)-C22,MAX(0,YEAR(C4)-15-C21)))</f>
        <v/>
      </c>
      <c r="D25" s="68"/>
      <c r="E25" s="85"/>
      <c r="N25" s="75"/>
      <c r="O25" s="75"/>
    </row>
    <row r="26" spans="2:15" x14ac:dyDescent="0.2">
      <c r="B26" s="56" t="s">
        <v>10</v>
      </c>
      <c r="C26" s="83">
        <f>IFERROR(ROUNDDOWN((C25/2),0),0)</f>
        <v>0</v>
      </c>
      <c r="D26" s="68"/>
      <c r="N26" s="75"/>
      <c r="O26" s="75"/>
    </row>
    <row r="27" spans="2:15" ht="13.5" thickBot="1" x14ac:dyDescent="0.25">
      <c r="B27" s="56" t="s">
        <v>33</v>
      </c>
      <c r="C27" s="86">
        <f>C26*0.02</f>
        <v>0</v>
      </c>
      <c r="D27" s="68"/>
      <c r="N27" s="75"/>
      <c r="O27" s="75"/>
    </row>
    <row r="28" spans="2:15" ht="13.5" thickBot="1" x14ac:dyDescent="0.25">
      <c r="B28" s="23" t="s">
        <v>74</v>
      </c>
      <c r="C28" s="32">
        <f>-C27*(C24-C11*C23-C16*C23)</f>
        <v>0</v>
      </c>
      <c r="N28" s="75"/>
      <c r="O28" s="75"/>
    </row>
    <row r="29" spans="2:15" ht="13.5" thickBot="1" x14ac:dyDescent="0.25">
      <c r="N29" s="75"/>
      <c r="O29" s="75"/>
    </row>
    <row r="30" spans="2:15" ht="15" x14ac:dyDescent="0.25">
      <c r="B30" s="102" t="s">
        <v>4</v>
      </c>
      <c r="C30" s="103"/>
      <c r="D30" s="55"/>
      <c r="N30" s="75"/>
      <c r="O30" s="75"/>
    </row>
    <row r="31" spans="2:15" x14ac:dyDescent="0.2">
      <c r="B31" s="52"/>
      <c r="C31" s="87"/>
      <c r="N31" s="10"/>
      <c r="O31" s="75"/>
    </row>
    <row r="32" spans="2:15" ht="14.25" x14ac:dyDescent="0.2">
      <c r="B32" s="17" t="s">
        <v>78</v>
      </c>
      <c r="C32" s="88">
        <v>0</v>
      </c>
      <c r="N32" s="75"/>
      <c r="O32" s="75"/>
    </row>
    <row r="33" spans="2:15" ht="14.25" x14ac:dyDescent="0.2">
      <c r="B33" s="56" t="s">
        <v>7</v>
      </c>
      <c r="C33" s="84"/>
      <c r="N33" s="75"/>
      <c r="O33" s="75"/>
    </row>
    <row r="34" spans="2:15" x14ac:dyDescent="0.2">
      <c r="B34" s="56" t="s">
        <v>6</v>
      </c>
      <c r="C34" s="89">
        <f>IFERROR(VLOOKUP(C33,BarèmeLIR!$A$1:$B$172,2,FALSE),0)</f>
        <v>0</v>
      </c>
      <c r="D34" s="55"/>
      <c r="N34" s="75"/>
      <c r="O34" s="75"/>
    </row>
    <row r="35" spans="2:15" x14ac:dyDescent="0.2">
      <c r="B35" s="56" t="s">
        <v>75</v>
      </c>
      <c r="C35" s="90">
        <f>C32*C34</f>
        <v>0</v>
      </c>
      <c r="N35" s="75"/>
      <c r="O35" s="75"/>
    </row>
    <row r="36" spans="2:15" x14ac:dyDescent="0.2">
      <c r="B36" s="56"/>
      <c r="C36" s="90"/>
      <c r="N36" s="75"/>
      <c r="O36" s="75"/>
    </row>
    <row r="37" spans="2:15" ht="14.25" x14ac:dyDescent="0.2">
      <c r="B37" s="17" t="s">
        <v>78</v>
      </c>
      <c r="C37" s="88">
        <v>0</v>
      </c>
      <c r="N37" s="75"/>
      <c r="O37" s="75"/>
    </row>
    <row r="38" spans="2:15" ht="14.25" x14ac:dyDescent="0.2">
      <c r="B38" s="56" t="s">
        <v>7</v>
      </c>
      <c r="C38" s="84"/>
      <c r="N38" s="75"/>
      <c r="O38" s="75"/>
    </row>
    <row r="39" spans="2:15" x14ac:dyDescent="0.2">
      <c r="B39" s="56" t="s">
        <v>6</v>
      </c>
      <c r="C39" s="89">
        <f>IFERROR(VLOOKUP(C38,BarèmeLIR!$A$1:$B$172,2,FALSE),0)</f>
        <v>0</v>
      </c>
      <c r="D39" s="55"/>
      <c r="N39" s="75"/>
      <c r="O39" s="75"/>
    </row>
    <row r="40" spans="2:15" ht="12.6" customHeight="1" x14ac:dyDescent="0.2">
      <c r="B40" s="56" t="s">
        <v>75</v>
      </c>
      <c r="C40" s="90">
        <f>C37*C39</f>
        <v>0</v>
      </c>
      <c r="N40" s="75"/>
      <c r="O40" s="75"/>
    </row>
    <row r="41" spans="2:15" ht="12.6" customHeight="1" x14ac:dyDescent="0.2">
      <c r="B41" s="56"/>
      <c r="C41" s="90"/>
      <c r="N41" s="75"/>
      <c r="O41" s="75"/>
    </row>
    <row r="42" spans="2:15" ht="12.6" customHeight="1" x14ac:dyDescent="0.2">
      <c r="B42" s="17" t="s">
        <v>78</v>
      </c>
      <c r="C42" s="88">
        <v>0</v>
      </c>
      <c r="N42" s="75"/>
      <c r="O42" s="75"/>
    </row>
    <row r="43" spans="2:15" ht="12.6" customHeight="1" x14ac:dyDescent="0.2">
      <c r="B43" s="56" t="s">
        <v>7</v>
      </c>
      <c r="C43" s="84"/>
      <c r="N43" s="75"/>
      <c r="O43" s="75"/>
    </row>
    <row r="44" spans="2:15" ht="12.6" customHeight="1" x14ac:dyDescent="0.2">
      <c r="B44" s="56" t="s">
        <v>6</v>
      </c>
      <c r="C44" s="89">
        <f>IFERROR(VLOOKUP(C43,BarèmeLIR!$A$1:$B$172,2,FALSE),0)</f>
        <v>0</v>
      </c>
      <c r="N44" s="75"/>
      <c r="O44" s="75"/>
    </row>
    <row r="45" spans="2:15" ht="12.6" customHeight="1" x14ac:dyDescent="0.2">
      <c r="B45" s="56" t="s">
        <v>75</v>
      </c>
      <c r="C45" s="90">
        <f>C42*C44</f>
        <v>0</v>
      </c>
      <c r="N45" s="75"/>
      <c r="O45" s="75"/>
    </row>
    <row r="46" spans="2:15" ht="12.6" customHeight="1" x14ac:dyDescent="0.2">
      <c r="B46" s="56"/>
      <c r="C46" s="90"/>
      <c r="N46" s="75"/>
      <c r="O46" s="75"/>
    </row>
    <row r="47" spans="2:15" ht="12.6" customHeight="1" x14ac:dyDescent="0.2">
      <c r="B47" s="17" t="s">
        <v>78</v>
      </c>
      <c r="C47" s="88">
        <v>0</v>
      </c>
      <c r="N47" s="75"/>
      <c r="O47" s="75"/>
    </row>
    <row r="48" spans="2:15" ht="12.6" customHeight="1" x14ac:dyDescent="0.2">
      <c r="B48" s="56" t="s">
        <v>7</v>
      </c>
      <c r="C48" s="84"/>
      <c r="N48" s="75"/>
      <c r="O48" s="75"/>
    </row>
    <row r="49" spans="2:15" ht="12.6" customHeight="1" x14ac:dyDescent="0.2">
      <c r="B49" s="56" t="s">
        <v>6</v>
      </c>
      <c r="C49" s="89">
        <f>IFERROR(VLOOKUP(C48,BarèmeLIR!$A$1:$B$172,2,FALSE),0)</f>
        <v>0</v>
      </c>
      <c r="N49" s="75"/>
      <c r="O49" s="75"/>
    </row>
    <row r="50" spans="2:15" ht="12.6" customHeight="1" x14ac:dyDescent="0.2">
      <c r="B50" s="56" t="s">
        <v>75</v>
      </c>
      <c r="C50" s="90">
        <f>C47*C49</f>
        <v>0</v>
      </c>
      <c r="N50" s="75"/>
      <c r="O50" s="75"/>
    </row>
    <row r="51" spans="2:15" ht="12.6" customHeight="1" x14ac:dyDescent="0.2">
      <c r="B51" s="56"/>
      <c r="C51" s="90"/>
      <c r="N51" s="75"/>
      <c r="O51" s="75"/>
    </row>
    <row r="52" spans="2:15" ht="12.6" customHeight="1" x14ac:dyDescent="0.2">
      <c r="B52" s="17" t="s">
        <v>78</v>
      </c>
      <c r="C52" s="88">
        <v>0</v>
      </c>
      <c r="N52" s="75"/>
      <c r="O52" s="75"/>
    </row>
    <row r="53" spans="2:15" ht="12.6" customHeight="1" x14ac:dyDescent="0.2">
      <c r="B53" s="56" t="s">
        <v>7</v>
      </c>
      <c r="C53" s="84"/>
      <c r="N53" s="75"/>
      <c r="O53" s="75"/>
    </row>
    <row r="54" spans="2:15" ht="12.6" customHeight="1" x14ac:dyDescent="0.2">
      <c r="B54" s="56" t="s">
        <v>6</v>
      </c>
      <c r="C54" s="89">
        <f>IFERROR(VLOOKUP(C53,BarèmeLIR!$A$1:$B$172,2,FALSE),0)</f>
        <v>0</v>
      </c>
      <c r="N54" s="75"/>
      <c r="O54" s="75"/>
    </row>
    <row r="55" spans="2:15" ht="12.6" customHeight="1" x14ac:dyDescent="0.2">
      <c r="B55" s="56" t="s">
        <v>75</v>
      </c>
      <c r="C55" s="90">
        <f>C52*C54</f>
        <v>0</v>
      </c>
      <c r="N55" s="75"/>
      <c r="O55" s="75"/>
    </row>
    <row r="56" spans="2:15" ht="13.5" thickBot="1" x14ac:dyDescent="0.25">
      <c r="B56" s="56"/>
      <c r="C56" s="90"/>
      <c r="N56" s="75"/>
      <c r="O56" s="75"/>
    </row>
    <row r="57" spans="2:15" ht="13.5" thickBot="1" x14ac:dyDescent="0.25">
      <c r="B57" s="23" t="s">
        <v>72</v>
      </c>
      <c r="C57" s="32">
        <f>+SUM(C35,C40,C45,C50,C55)</f>
        <v>0</v>
      </c>
      <c r="D57" s="91"/>
      <c r="E57" s="91"/>
      <c r="F57" s="91"/>
      <c r="N57" s="75"/>
      <c r="O57" s="75"/>
    </row>
    <row r="58" spans="2:15" ht="13.5" thickBot="1" x14ac:dyDescent="0.25">
      <c r="B58" s="56" t="s">
        <v>33</v>
      </c>
      <c r="C58" s="86">
        <f>+C27</f>
        <v>0</v>
      </c>
      <c r="D58" s="55"/>
      <c r="E58" s="91"/>
      <c r="F58" s="91"/>
      <c r="N58" s="75"/>
      <c r="O58" s="75"/>
    </row>
    <row r="59" spans="2:15" ht="13.5" thickBot="1" x14ac:dyDescent="0.25">
      <c r="B59" s="23" t="s">
        <v>67</v>
      </c>
      <c r="C59" s="32">
        <f>-C57*C58</f>
        <v>0</v>
      </c>
      <c r="D59" s="91"/>
      <c r="E59" s="91"/>
      <c r="F59" s="91"/>
      <c r="N59" s="75"/>
      <c r="O59" s="75"/>
    </row>
    <row r="60" spans="2:15" hidden="1" x14ac:dyDescent="0.2">
      <c r="D60" s="91"/>
      <c r="E60" s="91"/>
      <c r="F60" s="91"/>
      <c r="N60" s="75"/>
      <c r="O60" s="75"/>
    </row>
    <row r="61" spans="2:15" ht="13.5" thickBot="1" x14ac:dyDescent="0.25">
      <c r="D61" s="91"/>
      <c r="E61" s="91"/>
      <c r="F61" s="91"/>
      <c r="N61" s="75"/>
      <c r="O61" s="75"/>
    </row>
    <row r="62" spans="2:15" ht="15" x14ac:dyDescent="0.25">
      <c r="B62" s="102" t="s">
        <v>44</v>
      </c>
      <c r="C62" s="103"/>
      <c r="D62" s="55"/>
      <c r="E62" s="91"/>
      <c r="F62" s="91"/>
      <c r="N62" s="75"/>
      <c r="O62" s="75"/>
    </row>
    <row r="63" spans="2:15" x14ac:dyDescent="0.2">
      <c r="B63" s="52"/>
      <c r="C63" s="87"/>
      <c r="D63" s="91"/>
      <c r="E63" s="91"/>
      <c r="F63" s="91"/>
      <c r="N63" s="75"/>
      <c r="O63" s="75"/>
    </row>
    <row r="64" spans="2:15" ht="14.25" x14ac:dyDescent="0.2">
      <c r="B64" s="17" t="s">
        <v>79</v>
      </c>
      <c r="C64" s="88">
        <v>0</v>
      </c>
      <c r="D64" s="91"/>
      <c r="E64" s="91"/>
      <c r="F64" s="91"/>
      <c r="N64" s="75"/>
      <c r="O64" s="75"/>
    </row>
    <row r="65" spans="2:15" ht="14.25" x14ac:dyDescent="0.2">
      <c r="B65" s="56" t="s">
        <v>7</v>
      </c>
      <c r="C65" s="84"/>
      <c r="D65" s="91"/>
      <c r="E65" s="91"/>
      <c r="F65" s="91"/>
      <c r="N65" s="75"/>
      <c r="O65" s="75"/>
    </row>
    <row r="66" spans="2:15" x14ac:dyDescent="0.2">
      <c r="B66" s="56" t="s">
        <v>6</v>
      </c>
      <c r="C66" s="89">
        <f>IFERROR(VLOOKUP(C65,BarèmeLIR!$A$1:$B$172,2,FALSE),0)</f>
        <v>0</v>
      </c>
      <c r="D66" s="55"/>
      <c r="E66" s="91"/>
      <c r="F66" s="91"/>
      <c r="N66" s="75"/>
      <c r="O66" s="75"/>
    </row>
    <row r="67" spans="2:15" x14ac:dyDescent="0.2">
      <c r="B67" s="56" t="s">
        <v>47</v>
      </c>
      <c r="C67" s="90">
        <f>C64*C66</f>
        <v>0</v>
      </c>
      <c r="D67" s="91"/>
      <c r="E67" s="91"/>
      <c r="F67" s="91"/>
      <c r="N67" s="75"/>
      <c r="O67" s="75"/>
    </row>
    <row r="68" spans="2:15" x14ac:dyDescent="0.2">
      <c r="B68" s="56"/>
      <c r="C68" s="90"/>
      <c r="D68" s="91"/>
      <c r="E68" s="91"/>
      <c r="F68" s="91"/>
      <c r="N68" s="75"/>
      <c r="O68" s="75"/>
    </row>
    <row r="69" spans="2:15" ht="14.25" x14ac:dyDescent="0.2">
      <c r="B69" s="17" t="s">
        <v>79</v>
      </c>
      <c r="C69" s="88">
        <v>0</v>
      </c>
      <c r="D69" s="91"/>
      <c r="E69" s="91"/>
      <c r="F69" s="91"/>
      <c r="N69" s="75"/>
      <c r="O69" s="75"/>
    </row>
    <row r="70" spans="2:15" ht="14.25" x14ac:dyDescent="0.2">
      <c r="B70" s="56" t="s">
        <v>7</v>
      </c>
      <c r="C70" s="84"/>
      <c r="D70" s="91"/>
      <c r="E70" s="91"/>
      <c r="F70" s="91"/>
      <c r="N70" s="75"/>
      <c r="O70" s="75"/>
    </row>
    <row r="71" spans="2:15" x14ac:dyDescent="0.2">
      <c r="B71" s="56" t="s">
        <v>6</v>
      </c>
      <c r="C71" s="89">
        <f>IFERROR(VLOOKUP(C70,BarèmeLIR!$A$1:$B$172,2,FALSE),0)</f>
        <v>0</v>
      </c>
      <c r="D71" s="55"/>
      <c r="E71" s="91"/>
      <c r="F71" s="91"/>
      <c r="N71" s="75"/>
      <c r="O71" s="75"/>
    </row>
    <row r="72" spans="2:15" x14ac:dyDescent="0.2">
      <c r="B72" s="56" t="s">
        <v>47</v>
      </c>
      <c r="C72" s="90">
        <f>C69*C71</f>
        <v>0</v>
      </c>
      <c r="D72" s="91"/>
      <c r="E72" s="91"/>
      <c r="F72" s="91"/>
      <c r="N72" s="75"/>
      <c r="O72" s="75"/>
    </row>
    <row r="73" spans="2:15" x14ac:dyDescent="0.2">
      <c r="B73" s="56"/>
      <c r="C73" s="90"/>
      <c r="D73" s="91"/>
      <c r="E73" s="91"/>
      <c r="F73" s="91"/>
      <c r="N73" s="75"/>
      <c r="O73" s="75"/>
    </row>
    <row r="74" spans="2:15" ht="14.25" x14ac:dyDescent="0.2">
      <c r="B74" s="17" t="s">
        <v>79</v>
      </c>
      <c r="C74" s="88">
        <v>0</v>
      </c>
      <c r="D74" s="91"/>
      <c r="E74" s="91"/>
      <c r="F74" s="91"/>
      <c r="N74" s="75"/>
      <c r="O74" s="75"/>
    </row>
    <row r="75" spans="2:15" ht="14.25" x14ac:dyDescent="0.2">
      <c r="B75" s="56" t="s">
        <v>7</v>
      </c>
      <c r="C75" s="84"/>
      <c r="D75" s="91"/>
      <c r="E75" s="91"/>
      <c r="F75" s="91"/>
      <c r="N75" s="75"/>
      <c r="O75" s="75"/>
    </row>
    <row r="76" spans="2:15" x14ac:dyDescent="0.2">
      <c r="B76" s="56" t="s">
        <v>6</v>
      </c>
      <c r="C76" s="89">
        <f>IFERROR(VLOOKUP(C75,BarèmeLIR!$A$1:$B$172,2,FALSE),0)</f>
        <v>0</v>
      </c>
      <c r="D76" s="55"/>
      <c r="E76" s="91"/>
      <c r="F76" s="91"/>
      <c r="N76" s="75"/>
      <c r="O76" s="75"/>
    </row>
    <row r="77" spans="2:15" x14ac:dyDescent="0.2">
      <c r="B77" s="56" t="s">
        <v>47</v>
      </c>
      <c r="C77" s="90">
        <f>C74*C76</f>
        <v>0</v>
      </c>
      <c r="D77" s="91"/>
      <c r="E77" s="91"/>
      <c r="F77" s="91"/>
      <c r="N77" s="75"/>
      <c r="O77" s="75"/>
    </row>
    <row r="78" spans="2:15" x14ac:dyDescent="0.2">
      <c r="B78" s="56"/>
      <c r="C78" s="90"/>
      <c r="D78" s="91"/>
      <c r="E78" s="91"/>
      <c r="F78" s="91"/>
      <c r="N78" s="75"/>
      <c r="O78" s="75"/>
    </row>
    <row r="79" spans="2:15" ht="14.25" x14ac:dyDescent="0.2">
      <c r="B79" s="17" t="s">
        <v>79</v>
      </c>
      <c r="C79" s="88">
        <v>0</v>
      </c>
      <c r="D79" s="91"/>
      <c r="E79" s="91"/>
      <c r="F79" s="91"/>
      <c r="N79" s="75"/>
      <c r="O79" s="75"/>
    </row>
    <row r="80" spans="2:15" ht="14.25" x14ac:dyDescent="0.2">
      <c r="B80" s="56" t="s">
        <v>7</v>
      </c>
      <c r="C80" s="84"/>
      <c r="D80" s="91"/>
      <c r="E80" s="91"/>
      <c r="F80" s="91"/>
      <c r="N80" s="75"/>
      <c r="O80" s="75"/>
    </row>
    <row r="81" spans="2:15" x14ac:dyDescent="0.2">
      <c r="B81" s="56" t="s">
        <v>6</v>
      </c>
      <c r="C81" s="89">
        <f>IFERROR(VLOOKUP(C80,BarèmeLIR!$A$1:$B$172,2,FALSE),0)</f>
        <v>0</v>
      </c>
      <c r="D81" s="55"/>
      <c r="E81" s="91"/>
      <c r="F81" s="91"/>
      <c r="N81" s="75"/>
      <c r="O81" s="75"/>
    </row>
    <row r="82" spans="2:15" x14ac:dyDescent="0.2">
      <c r="B82" s="56" t="s">
        <v>47</v>
      </c>
      <c r="C82" s="90">
        <f>C79*C81</f>
        <v>0</v>
      </c>
      <c r="D82" s="91"/>
      <c r="E82" s="91"/>
      <c r="F82" s="91"/>
      <c r="N82" s="75"/>
      <c r="O82" s="75"/>
    </row>
    <row r="83" spans="2:15" x14ac:dyDescent="0.2">
      <c r="B83" s="56"/>
      <c r="C83" s="90"/>
      <c r="D83" s="91"/>
      <c r="E83" s="91"/>
      <c r="F83" s="91"/>
      <c r="N83" s="75"/>
      <c r="O83" s="75"/>
    </row>
    <row r="84" spans="2:15" ht="14.25" x14ac:dyDescent="0.2">
      <c r="B84" s="17" t="s">
        <v>79</v>
      </c>
      <c r="C84" s="88">
        <v>0</v>
      </c>
      <c r="D84" s="91"/>
      <c r="E84" s="91"/>
      <c r="F84" s="91"/>
      <c r="N84" s="75"/>
      <c r="O84" s="75"/>
    </row>
    <row r="85" spans="2:15" ht="14.25" x14ac:dyDescent="0.2">
      <c r="B85" s="56" t="s">
        <v>7</v>
      </c>
      <c r="C85" s="84"/>
      <c r="D85" s="91"/>
      <c r="E85" s="91"/>
      <c r="F85" s="91"/>
      <c r="N85" s="75"/>
      <c r="O85" s="75"/>
    </row>
    <row r="86" spans="2:15" x14ac:dyDescent="0.2">
      <c r="B86" s="56" t="s">
        <v>6</v>
      </c>
      <c r="C86" s="89">
        <f>IFERROR(VLOOKUP(C85,BarèmeLIR!$A$1:$B$172,2,FALSE),0)</f>
        <v>0</v>
      </c>
      <c r="D86" s="55"/>
      <c r="E86" s="91"/>
      <c r="F86" s="91"/>
      <c r="N86" s="75"/>
      <c r="O86" s="75"/>
    </row>
    <row r="87" spans="2:15" x14ac:dyDescent="0.2">
      <c r="B87" s="56" t="s">
        <v>47</v>
      </c>
      <c r="C87" s="90">
        <f>C84*C86</f>
        <v>0</v>
      </c>
      <c r="D87" s="91"/>
      <c r="E87" s="91"/>
      <c r="F87" s="91"/>
      <c r="N87" s="75"/>
      <c r="O87" s="75"/>
    </row>
    <row r="88" spans="2:15" ht="13.5" thickBot="1" x14ac:dyDescent="0.25">
      <c r="B88" s="56"/>
      <c r="C88" s="90"/>
      <c r="D88" s="91"/>
      <c r="E88" s="91"/>
      <c r="F88" s="91"/>
      <c r="N88" s="75"/>
      <c r="O88" s="75"/>
    </row>
    <row r="89" spans="2:15" ht="13.5" thickBot="1" x14ac:dyDescent="0.25">
      <c r="B89" s="16" t="s">
        <v>47</v>
      </c>
      <c r="C89" s="32">
        <f>+C72+C67+C77+C82+C87</f>
        <v>0</v>
      </c>
      <c r="D89" s="91"/>
      <c r="E89" s="91"/>
      <c r="F89" s="91"/>
      <c r="N89" s="75"/>
      <c r="O89" s="75"/>
    </row>
    <row r="90" spans="2:15" ht="13.5" thickBot="1" x14ac:dyDescent="0.25">
      <c r="D90" s="91"/>
      <c r="E90" s="91"/>
      <c r="F90" s="91"/>
      <c r="N90" s="75"/>
      <c r="O90" s="75"/>
    </row>
    <row r="91" spans="2:15" ht="13.5" thickBot="1" x14ac:dyDescent="0.25">
      <c r="B91" s="6" t="s">
        <v>68</v>
      </c>
      <c r="C91" s="32">
        <f>+SUM(C57,C24)</f>
        <v>0</v>
      </c>
      <c r="D91" s="91"/>
      <c r="E91" s="91"/>
      <c r="F91" s="91"/>
      <c r="N91" s="75"/>
      <c r="O91" s="75"/>
    </row>
    <row r="92" spans="2:15" ht="13.5" thickBot="1" x14ac:dyDescent="0.25">
      <c r="B92" s="70" t="s">
        <v>76</v>
      </c>
      <c r="C92" s="71">
        <f>+(C16+C11)*C23</f>
        <v>0</v>
      </c>
      <c r="D92" s="91"/>
      <c r="E92" s="91"/>
      <c r="F92" s="91"/>
      <c r="N92" s="75"/>
      <c r="O92" s="75"/>
    </row>
    <row r="93" spans="2:15" ht="13.5" thickBot="1" x14ac:dyDescent="0.25">
      <c r="B93" s="70" t="s">
        <v>77</v>
      </c>
      <c r="C93" s="71">
        <f>+C91-(C11+C16)*C23</f>
        <v>0</v>
      </c>
      <c r="D93" s="91"/>
      <c r="E93" s="91"/>
      <c r="F93" s="91"/>
      <c r="N93" s="75"/>
      <c r="O93" s="75"/>
    </row>
    <row r="94" spans="2:15" ht="13.5" thickBot="1" x14ac:dyDescent="0.25">
      <c r="D94" s="91"/>
      <c r="E94" s="91"/>
      <c r="F94" s="91"/>
      <c r="N94" s="75"/>
      <c r="O94" s="75"/>
    </row>
    <row r="95" spans="2:15" ht="13.5" thickBot="1" x14ac:dyDescent="0.25">
      <c r="B95" s="6" t="s">
        <v>69</v>
      </c>
      <c r="C95" s="32">
        <f>+MIN(C59+C28+C89,0)</f>
        <v>0</v>
      </c>
      <c r="D95" s="91"/>
      <c r="E95" s="91"/>
      <c r="F95" s="91"/>
      <c r="N95" s="75"/>
      <c r="O95" s="75"/>
    </row>
    <row r="96" spans="2:15" ht="13.5" thickBot="1" x14ac:dyDescent="0.25">
      <c r="D96" s="91"/>
      <c r="E96" s="91"/>
      <c r="F96" s="91"/>
      <c r="N96" s="75"/>
      <c r="O96" s="75"/>
    </row>
    <row r="97" spans="2:15" ht="13.5" thickBot="1" x14ac:dyDescent="0.25">
      <c r="B97" s="6" t="s">
        <v>27</v>
      </c>
      <c r="C97" s="32">
        <f>+C91+C95</f>
        <v>0</v>
      </c>
      <c r="D97" s="91"/>
      <c r="E97" s="91"/>
      <c r="F97" s="91"/>
      <c r="N97" s="75"/>
      <c r="O97" s="75"/>
    </row>
    <row r="98" spans="2:15" ht="13.5" thickBot="1" x14ac:dyDescent="0.25">
      <c r="B98" s="6" t="s">
        <v>13</v>
      </c>
      <c r="C98" s="69">
        <f>+C97*5%/12</f>
        <v>0</v>
      </c>
      <c r="D98" s="91"/>
      <c r="E98" s="91"/>
      <c r="F98" s="91"/>
      <c r="N98" s="75"/>
      <c r="O98" s="75"/>
    </row>
    <row r="99" spans="2:15" x14ac:dyDescent="0.2">
      <c r="D99" s="91"/>
      <c r="E99" s="91"/>
      <c r="F99" s="91"/>
      <c r="N99" s="75"/>
      <c r="O99" s="75"/>
    </row>
    <row r="100" spans="2:15" x14ac:dyDescent="0.2">
      <c r="D100" s="91"/>
      <c r="E100" s="91"/>
      <c r="F100" s="91"/>
      <c r="N100" s="75"/>
      <c r="O100" s="75"/>
    </row>
    <row r="101" spans="2:15" x14ac:dyDescent="0.2">
      <c r="D101" s="91"/>
      <c r="E101" s="91"/>
      <c r="F101" s="91"/>
      <c r="N101" s="75"/>
      <c r="O101" s="75"/>
    </row>
    <row r="102" spans="2:15" x14ac:dyDescent="0.2">
      <c r="D102" s="91"/>
      <c r="E102" s="91"/>
      <c r="F102" s="91"/>
      <c r="N102" s="75"/>
      <c r="O102" s="75"/>
    </row>
    <row r="103" spans="2:15" ht="14.25" customHeight="1" x14ac:dyDescent="0.2"/>
  </sheetData>
  <sheetProtection algorithmName="SHA-512" hashValue="BNbDLruAqCWoHJGtXXi2sjyzDGhjH63uV32h11z6CR2XDpfWPuG/gNpvYrzNEsIPW7C2MRoUX8sZTlZjFStVFg==" saltValue="Ug9awDqTKUZBnuFRTLCNLg==" spinCount="100000" sheet="1" objects="1" scenarios="1"/>
  <protectedRanges>
    <protectedRange sqref="C4" name="Date location"/>
    <protectedRange sqref="C65 C70 C75 C80 C85" name="Travaux entretien et réparation"/>
    <protectedRange sqref="C32:C33 C37:C38 C42:C43 C47:C48 C52:C53 C64 C69 C74 C79 C84" name="Travaux amélioration"/>
    <protectedRange sqref="C21:C22" name="Date acquisition ou construction"/>
    <protectedRange sqref="C15:C18" name="Frais accessoires"/>
    <protectedRange sqref="C11:C13" name="Valeur acquisition"/>
    <protectedRange sqref="C8" name="Valeur terrain"/>
  </protectedRanges>
  <mergeCells count="3">
    <mergeCell ref="B6:C6"/>
    <mergeCell ref="B30:C30"/>
    <mergeCell ref="B62:C62"/>
  </mergeCells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&amp;L&amp;"Arial"&amp;8 0130381-0000002 EUO3: 2000365387: 1&amp;C&amp;"Arial"&amp;8&amp;P&amp;R&amp;"Arial"&amp;8&amp;D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List!$A$2:$A$3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showGridLines="0" workbookViewId="0">
      <pane ySplit="1" topLeftCell="A2" activePane="bottomLeft" state="frozen"/>
      <selection pane="bottomLeft" activeCell="B158" sqref="B158"/>
    </sheetView>
  </sheetViews>
  <sheetFormatPr defaultRowHeight="12.75" outlineLevelRow="1" x14ac:dyDescent="0.2"/>
  <cols>
    <col min="1" max="2" width="20.28515625" style="62" customWidth="1"/>
  </cols>
  <sheetData>
    <row r="1" spans="1:2" x14ac:dyDescent="0.2">
      <c r="A1" s="58" t="s">
        <v>28</v>
      </c>
      <c r="B1" s="63" t="s">
        <v>29</v>
      </c>
    </row>
    <row r="2" spans="1:2" hidden="1" outlineLevel="1" x14ac:dyDescent="0.2">
      <c r="A2" s="59">
        <v>1850</v>
      </c>
      <c r="B2" s="64">
        <v>175.53</v>
      </c>
    </row>
    <row r="3" spans="1:2" hidden="1" outlineLevel="1" x14ac:dyDescent="0.2">
      <c r="A3" s="60">
        <v>1851</v>
      </c>
      <c r="B3" s="65">
        <v>175.53</v>
      </c>
    </row>
    <row r="4" spans="1:2" hidden="1" outlineLevel="1" x14ac:dyDescent="0.2">
      <c r="A4" s="60">
        <v>1852</v>
      </c>
      <c r="B4" s="65">
        <v>175.53</v>
      </c>
    </row>
    <row r="5" spans="1:2" hidden="1" outlineLevel="1" x14ac:dyDescent="0.2">
      <c r="A5" s="60">
        <v>1853</v>
      </c>
      <c r="B5" s="65">
        <v>175.53</v>
      </c>
    </row>
    <row r="6" spans="1:2" hidden="1" outlineLevel="1" x14ac:dyDescent="0.2">
      <c r="A6" s="60">
        <v>1854</v>
      </c>
      <c r="B6" s="65">
        <v>175.53</v>
      </c>
    </row>
    <row r="7" spans="1:2" hidden="1" outlineLevel="1" x14ac:dyDescent="0.2">
      <c r="A7" s="60">
        <v>1855</v>
      </c>
      <c r="B7" s="65">
        <v>175.53</v>
      </c>
    </row>
    <row r="8" spans="1:2" hidden="1" outlineLevel="1" x14ac:dyDescent="0.2">
      <c r="A8" s="60">
        <v>1856</v>
      </c>
      <c r="B8" s="65">
        <v>175.53</v>
      </c>
    </row>
    <row r="9" spans="1:2" hidden="1" outlineLevel="1" x14ac:dyDescent="0.2">
      <c r="A9" s="60">
        <v>1857</v>
      </c>
      <c r="B9" s="65">
        <v>175.53</v>
      </c>
    </row>
    <row r="10" spans="1:2" hidden="1" outlineLevel="1" x14ac:dyDescent="0.2">
      <c r="A10" s="60">
        <v>1858</v>
      </c>
      <c r="B10" s="65">
        <v>175.53</v>
      </c>
    </row>
    <row r="11" spans="1:2" hidden="1" outlineLevel="1" x14ac:dyDescent="0.2">
      <c r="A11" s="60">
        <v>1859</v>
      </c>
      <c r="B11" s="65">
        <v>175.53</v>
      </c>
    </row>
    <row r="12" spans="1:2" hidden="1" outlineLevel="1" x14ac:dyDescent="0.2">
      <c r="A12" s="60">
        <v>1860</v>
      </c>
      <c r="B12" s="65">
        <v>175.53</v>
      </c>
    </row>
    <row r="13" spans="1:2" hidden="1" outlineLevel="1" x14ac:dyDescent="0.2">
      <c r="A13" s="60">
        <v>1861</v>
      </c>
      <c r="B13" s="65">
        <v>175.53</v>
      </c>
    </row>
    <row r="14" spans="1:2" hidden="1" outlineLevel="1" x14ac:dyDescent="0.2">
      <c r="A14" s="60">
        <v>1862</v>
      </c>
      <c r="B14" s="65">
        <v>175.53</v>
      </c>
    </row>
    <row r="15" spans="1:2" hidden="1" outlineLevel="1" x14ac:dyDescent="0.2">
      <c r="A15" s="60">
        <v>1863</v>
      </c>
      <c r="B15" s="65">
        <v>175.53</v>
      </c>
    </row>
    <row r="16" spans="1:2" hidden="1" outlineLevel="1" x14ac:dyDescent="0.2">
      <c r="A16" s="60">
        <v>1864</v>
      </c>
      <c r="B16" s="65">
        <v>175.53</v>
      </c>
    </row>
    <row r="17" spans="1:2" hidden="1" outlineLevel="1" x14ac:dyDescent="0.2">
      <c r="A17" s="60">
        <v>1865</v>
      </c>
      <c r="B17" s="65">
        <v>175.53</v>
      </c>
    </row>
    <row r="18" spans="1:2" hidden="1" outlineLevel="1" x14ac:dyDescent="0.2">
      <c r="A18" s="60">
        <v>1866</v>
      </c>
      <c r="B18" s="65">
        <v>175.53</v>
      </c>
    </row>
    <row r="19" spans="1:2" hidden="1" outlineLevel="1" x14ac:dyDescent="0.2">
      <c r="A19" s="60">
        <v>1867</v>
      </c>
      <c r="B19" s="65">
        <v>175.53</v>
      </c>
    </row>
    <row r="20" spans="1:2" hidden="1" outlineLevel="1" x14ac:dyDescent="0.2">
      <c r="A20" s="60">
        <v>1868</v>
      </c>
      <c r="B20" s="65">
        <v>175.53</v>
      </c>
    </row>
    <row r="21" spans="1:2" hidden="1" outlineLevel="1" x14ac:dyDescent="0.2">
      <c r="A21" s="60">
        <v>1869</v>
      </c>
      <c r="B21" s="65">
        <v>175.53</v>
      </c>
    </row>
    <row r="22" spans="1:2" hidden="1" outlineLevel="1" x14ac:dyDescent="0.2">
      <c r="A22" s="60">
        <v>1870</v>
      </c>
      <c r="B22" s="65">
        <v>175.53</v>
      </c>
    </row>
    <row r="23" spans="1:2" hidden="1" outlineLevel="1" x14ac:dyDescent="0.2">
      <c r="A23" s="60">
        <v>1871</v>
      </c>
      <c r="B23" s="65">
        <v>175.53</v>
      </c>
    </row>
    <row r="24" spans="1:2" hidden="1" outlineLevel="1" x14ac:dyDescent="0.2">
      <c r="A24" s="60">
        <v>1872</v>
      </c>
      <c r="B24" s="65">
        <v>175.53</v>
      </c>
    </row>
    <row r="25" spans="1:2" hidden="1" outlineLevel="1" x14ac:dyDescent="0.2">
      <c r="A25" s="60">
        <v>1873</v>
      </c>
      <c r="B25" s="65">
        <v>175.53</v>
      </c>
    </row>
    <row r="26" spans="1:2" hidden="1" outlineLevel="1" x14ac:dyDescent="0.2">
      <c r="A26" s="60">
        <v>1874</v>
      </c>
      <c r="B26" s="65">
        <v>175.53</v>
      </c>
    </row>
    <row r="27" spans="1:2" hidden="1" outlineLevel="1" x14ac:dyDescent="0.2">
      <c r="A27" s="60">
        <v>1875</v>
      </c>
      <c r="B27" s="65">
        <v>175.53</v>
      </c>
    </row>
    <row r="28" spans="1:2" hidden="1" outlineLevel="1" x14ac:dyDescent="0.2">
      <c r="A28" s="60">
        <v>1876</v>
      </c>
      <c r="B28" s="65">
        <v>175.53</v>
      </c>
    </row>
    <row r="29" spans="1:2" hidden="1" outlineLevel="1" x14ac:dyDescent="0.2">
      <c r="A29" s="60">
        <v>1877</v>
      </c>
      <c r="B29" s="65">
        <v>175.53</v>
      </c>
    </row>
    <row r="30" spans="1:2" hidden="1" outlineLevel="1" x14ac:dyDescent="0.2">
      <c r="A30" s="60">
        <v>1878</v>
      </c>
      <c r="B30" s="65">
        <v>175.53</v>
      </c>
    </row>
    <row r="31" spans="1:2" hidden="1" outlineLevel="1" x14ac:dyDescent="0.2">
      <c r="A31" s="60">
        <v>1879</v>
      </c>
      <c r="B31" s="65">
        <v>175.53</v>
      </c>
    </row>
    <row r="32" spans="1:2" hidden="1" outlineLevel="1" x14ac:dyDescent="0.2">
      <c r="A32" s="60">
        <v>1880</v>
      </c>
      <c r="B32" s="65">
        <v>175.53</v>
      </c>
    </row>
    <row r="33" spans="1:2" hidden="1" outlineLevel="1" x14ac:dyDescent="0.2">
      <c r="A33" s="60">
        <v>1881</v>
      </c>
      <c r="B33" s="65">
        <v>175.53</v>
      </c>
    </row>
    <row r="34" spans="1:2" hidden="1" outlineLevel="1" x14ac:dyDescent="0.2">
      <c r="A34" s="60">
        <v>1882</v>
      </c>
      <c r="B34" s="65">
        <v>175.53</v>
      </c>
    </row>
    <row r="35" spans="1:2" hidden="1" outlineLevel="1" x14ac:dyDescent="0.2">
      <c r="A35" s="60">
        <v>1883</v>
      </c>
      <c r="B35" s="65">
        <v>175.53</v>
      </c>
    </row>
    <row r="36" spans="1:2" hidden="1" outlineLevel="1" x14ac:dyDescent="0.2">
      <c r="A36" s="60">
        <v>1884</v>
      </c>
      <c r="B36" s="65">
        <v>175.53</v>
      </c>
    </row>
    <row r="37" spans="1:2" hidden="1" outlineLevel="1" x14ac:dyDescent="0.2">
      <c r="A37" s="60">
        <v>1885</v>
      </c>
      <c r="B37" s="65">
        <v>175.53</v>
      </c>
    </row>
    <row r="38" spans="1:2" hidden="1" outlineLevel="1" x14ac:dyDescent="0.2">
      <c r="A38" s="60">
        <v>1886</v>
      </c>
      <c r="B38" s="65">
        <v>175.53</v>
      </c>
    </row>
    <row r="39" spans="1:2" hidden="1" outlineLevel="1" x14ac:dyDescent="0.2">
      <c r="A39" s="60">
        <v>1887</v>
      </c>
      <c r="B39" s="65">
        <v>175.53</v>
      </c>
    </row>
    <row r="40" spans="1:2" hidden="1" outlineLevel="1" x14ac:dyDescent="0.2">
      <c r="A40" s="60">
        <v>1888</v>
      </c>
      <c r="B40" s="65">
        <v>175.53</v>
      </c>
    </row>
    <row r="41" spans="1:2" hidden="1" outlineLevel="1" x14ac:dyDescent="0.2">
      <c r="A41" s="60">
        <v>1889</v>
      </c>
      <c r="B41" s="65">
        <v>175.53</v>
      </c>
    </row>
    <row r="42" spans="1:2" hidden="1" outlineLevel="1" x14ac:dyDescent="0.2">
      <c r="A42" s="60">
        <v>1890</v>
      </c>
      <c r="B42" s="65">
        <v>175.53</v>
      </c>
    </row>
    <row r="43" spans="1:2" hidden="1" outlineLevel="1" x14ac:dyDescent="0.2">
      <c r="A43" s="60">
        <v>1891</v>
      </c>
      <c r="B43" s="65">
        <v>175.53</v>
      </c>
    </row>
    <row r="44" spans="1:2" hidden="1" outlineLevel="1" x14ac:dyDescent="0.2">
      <c r="A44" s="60">
        <v>1892</v>
      </c>
      <c r="B44" s="65">
        <v>175.53</v>
      </c>
    </row>
    <row r="45" spans="1:2" hidden="1" outlineLevel="1" x14ac:dyDescent="0.2">
      <c r="A45" s="60">
        <v>1893</v>
      </c>
      <c r="B45" s="65">
        <v>175.53</v>
      </c>
    </row>
    <row r="46" spans="1:2" hidden="1" outlineLevel="1" x14ac:dyDescent="0.2">
      <c r="A46" s="60">
        <v>1894</v>
      </c>
      <c r="B46" s="65">
        <v>175.53</v>
      </c>
    </row>
    <row r="47" spans="1:2" hidden="1" outlineLevel="1" x14ac:dyDescent="0.2">
      <c r="A47" s="60">
        <v>1895</v>
      </c>
      <c r="B47" s="65">
        <v>175.53</v>
      </c>
    </row>
    <row r="48" spans="1:2" hidden="1" outlineLevel="1" x14ac:dyDescent="0.2">
      <c r="A48" s="60">
        <v>1896</v>
      </c>
      <c r="B48" s="65">
        <v>175.53</v>
      </c>
    </row>
    <row r="49" spans="1:2" hidden="1" outlineLevel="1" x14ac:dyDescent="0.2">
      <c r="A49" s="60">
        <v>1897</v>
      </c>
      <c r="B49" s="65">
        <v>175.53</v>
      </c>
    </row>
    <row r="50" spans="1:2" hidden="1" outlineLevel="1" x14ac:dyDescent="0.2">
      <c r="A50" s="60">
        <v>1898</v>
      </c>
      <c r="B50" s="65">
        <v>175.53</v>
      </c>
    </row>
    <row r="51" spans="1:2" hidden="1" outlineLevel="1" x14ac:dyDescent="0.2">
      <c r="A51" s="60">
        <v>1899</v>
      </c>
      <c r="B51" s="65">
        <v>175.53</v>
      </c>
    </row>
    <row r="52" spans="1:2" hidden="1" outlineLevel="1" x14ac:dyDescent="0.2">
      <c r="A52" s="60">
        <v>1900</v>
      </c>
      <c r="B52" s="65">
        <v>175.53</v>
      </c>
    </row>
    <row r="53" spans="1:2" hidden="1" outlineLevel="1" x14ac:dyDescent="0.2">
      <c r="A53" s="60">
        <v>1901</v>
      </c>
      <c r="B53" s="65">
        <v>175.53</v>
      </c>
    </row>
    <row r="54" spans="1:2" hidden="1" outlineLevel="1" x14ac:dyDescent="0.2">
      <c r="A54" s="60">
        <v>1902</v>
      </c>
      <c r="B54" s="65">
        <v>175.53</v>
      </c>
    </row>
    <row r="55" spans="1:2" hidden="1" outlineLevel="1" x14ac:dyDescent="0.2">
      <c r="A55" s="60">
        <v>1903</v>
      </c>
      <c r="B55" s="65">
        <v>175.53</v>
      </c>
    </row>
    <row r="56" spans="1:2" hidden="1" outlineLevel="1" x14ac:dyDescent="0.2">
      <c r="A56" s="60">
        <v>1904</v>
      </c>
      <c r="B56" s="65">
        <v>175.53</v>
      </c>
    </row>
    <row r="57" spans="1:2" hidden="1" outlineLevel="1" x14ac:dyDescent="0.2">
      <c r="A57" s="60">
        <v>1905</v>
      </c>
      <c r="B57" s="65">
        <v>175.53</v>
      </c>
    </row>
    <row r="58" spans="1:2" hidden="1" outlineLevel="1" x14ac:dyDescent="0.2">
      <c r="A58" s="60">
        <v>1906</v>
      </c>
      <c r="B58" s="65">
        <v>175.53</v>
      </c>
    </row>
    <row r="59" spans="1:2" hidden="1" outlineLevel="1" x14ac:dyDescent="0.2">
      <c r="A59" s="60">
        <v>1907</v>
      </c>
      <c r="B59" s="65">
        <v>175.53</v>
      </c>
    </row>
    <row r="60" spans="1:2" hidden="1" outlineLevel="1" x14ac:dyDescent="0.2">
      <c r="A60" s="60">
        <v>1908</v>
      </c>
      <c r="B60" s="65">
        <v>175.53</v>
      </c>
    </row>
    <row r="61" spans="1:2" hidden="1" outlineLevel="1" x14ac:dyDescent="0.2">
      <c r="A61" s="60">
        <v>1909</v>
      </c>
      <c r="B61" s="65">
        <v>175.53</v>
      </c>
    </row>
    <row r="62" spans="1:2" hidden="1" outlineLevel="1" x14ac:dyDescent="0.2">
      <c r="A62" s="60">
        <v>1910</v>
      </c>
      <c r="B62" s="65">
        <v>175.53</v>
      </c>
    </row>
    <row r="63" spans="1:2" hidden="1" outlineLevel="1" x14ac:dyDescent="0.2">
      <c r="A63" s="60">
        <v>1911</v>
      </c>
      <c r="B63" s="65">
        <v>175.53</v>
      </c>
    </row>
    <row r="64" spans="1:2" hidden="1" outlineLevel="1" x14ac:dyDescent="0.2">
      <c r="A64" s="60">
        <v>1912</v>
      </c>
      <c r="B64" s="65">
        <v>175.53</v>
      </c>
    </row>
    <row r="65" spans="1:2" hidden="1" outlineLevel="1" x14ac:dyDescent="0.2">
      <c r="A65" s="60">
        <v>1913</v>
      </c>
      <c r="B65" s="65">
        <v>175.53</v>
      </c>
    </row>
    <row r="66" spans="1:2" hidden="1" outlineLevel="1" x14ac:dyDescent="0.2">
      <c r="A66" s="60">
        <v>1914</v>
      </c>
      <c r="B66" s="65">
        <v>175.53</v>
      </c>
    </row>
    <row r="67" spans="1:2" hidden="1" outlineLevel="1" x14ac:dyDescent="0.2">
      <c r="A67" s="60">
        <v>1915</v>
      </c>
      <c r="B67" s="65">
        <v>175.53</v>
      </c>
    </row>
    <row r="68" spans="1:2" hidden="1" outlineLevel="1" x14ac:dyDescent="0.2">
      <c r="A68" s="60">
        <v>1916</v>
      </c>
      <c r="B68" s="65">
        <v>175.53</v>
      </c>
    </row>
    <row r="69" spans="1:2" hidden="1" outlineLevel="1" x14ac:dyDescent="0.2">
      <c r="A69" s="60">
        <v>1917</v>
      </c>
      <c r="B69" s="65">
        <v>175.53</v>
      </c>
    </row>
    <row r="70" spans="1:2" hidden="1" outlineLevel="1" x14ac:dyDescent="0.2">
      <c r="A70" s="60">
        <v>1918</v>
      </c>
      <c r="B70" s="65">
        <v>175.53</v>
      </c>
    </row>
    <row r="71" spans="1:2" hidden="1" outlineLevel="1" x14ac:dyDescent="0.2">
      <c r="A71" s="60">
        <v>1919</v>
      </c>
      <c r="B71" s="61">
        <v>79.790000000000006</v>
      </c>
    </row>
    <row r="72" spans="1:2" hidden="1" outlineLevel="1" x14ac:dyDescent="0.2">
      <c r="A72" s="60">
        <v>1920</v>
      </c>
      <c r="B72" s="61">
        <v>42.71</v>
      </c>
    </row>
    <row r="73" spans="1:2" hidden="1" outlineLevel="1" x14ac:dyDescent="0.2">
      <c r="A73" s="60">
        <v>1921</v>
      </c>
      <c r="B73" s="61">
        <v>43.7</v>
      </c>
    </row>
    <row r="74" spans="1:2" hidden="1" outlineLevel="1" x14ac:dyDescent="0.2">
      <c r="A74" s="60">
        <v>1922</v>
      </c>
      <c r="B74" s="61">
        <v>46.91</v>
      </c>
    </row>
    <row r="75" spans="1:2" hidden="1" outlineLevel="1" x14ac:dyDescent="0.2">
      <c r="A75" s="60">
        <v>1923</v>
      </c>
      <c r="B75" s="61">
        <v>39.65</v>
      </c>
    </row>
    <row r="76" spans="1:2" hidden="1" outlineLevel="1" x14ac:dyDescent="0.2">
      <c r="A76" s="60">
        <v>1924</v>
      </c>
      <c r="B76" s="61">
        <v>35.31</v>
      </c>
    </row>
    <row r="77" spans="1:2" hidden="1" outlineLevel="1" x14ac:dyDescent="0.2">
      <c r="A77" s="60">
        <v>1925</v>
      </c>
      <c r="B77" s="61">
        <v>33.74</v>
      </c>
    </row>
    <row r="78" spans="1:2" hidden="1" outlineLevel="1" x14ac:dyDescent="0.2">
      <c r="A78" s="60">
        <v>1926</v>
      </c>
      <c r="B78" s="61">
        <v>28.47</v>
      </c>
    </row>
    <row r="79" spans="1:2" hidden="1" outlineLevel="1" x14ac:dyDescent="0.2">
      <c r="A79" s="60">
        <v>1927</v>
      </c>
      <c r="B79" s="61">
        <v>22.56</v>
      </c>
    </row>
    <row r="80" spans="1:2" hidden="1" outlineLevel="1" x14ac:dyDescent="0.2">
      <c r="A80" s="60">
        <v>1928</v>
      </c>
      <c r="B80" s="61">
        <v>21.64</v>
      </c>
    </row>
    <row r="81" spans="1:3" hidden="1" outlineLevel="1" x14ac:dyDescent="0.2">
      <c r="A81" s="60">
        <v>1929</v>
      </c>
      <c r="B81" s="61">
        <v>20.14</v>
      </c>
    </row>
    <row r="82" spans="1:3" hidden="1" outlineLevel="1" x14ac:dyDescent="0.2">
      <c r="A82" s="60">
        <v>1930</v>
      </c>
      <c r="B82" s="61">
        <v>19.79</v>
      </c>
    </row>
    <row r="83" spans="1:3" hidden="1" outlineLevel="1" x14ac:dyDescent="0.2">
      <c r="A83" s="60">
        <v>1931</v>
      </c>
      <c r="B83" s="61">
        <v>22.07</v>
      </c>
    </row>
    <row r="84" spans="1:3" hidden="1" outlineLevel="1" x14ac:dyDescent="0.2">
      <c r="A84" s="60">
        <v>1932</v>
      </c>
      <c r="B84" s="61">
        <v>25.41</v>
      </c>
    </row>
    <row r="85" spans="1:3" hidden="1" outlineLevel="1" x14ac:dyDescent="0.2">
      <c r="A85" s="60">
        <v>1933</v>
      </c>
      <c r="B85" s="61">
        <v>25.55</v>
      </c>
    </row>
    <row r="86" spans="1:3" hidden="1" outlineLevel="1" x14ac:dyDescent="0.2">
      <c r="A86" s="60">
        <v>1934</v>
      </c>
      <c r="B86" s="61">
        <v>26.55</v>
      </c>
    </row>
    <row r="87" spans="1:3" hidden="1" outlineLevel="1" x14ac:dyDescent="0.2">
      <c r="A87" s="60">
        <v>1935</v>
      </c>
      <c r="B87" s="61">
        <v>27.05</v>
      </c>
    </row>
    <row r="88" spans="1:3" hidden="1" outlineLevel="1" x14ac:dyDescent="0.2">
      <c r="A88" s="60">
        <v>1936</v>
      </c>
      <c r="B88" s="61">
        <v>26.91</v>
      </c>
    </row>
    <row r="89" spans="1:3" hidden="1" outlineLevel="1" x14ac:dyDescent="0.2">
      <c r="A89" s="60">
        <v>1937</v>
      </c>
      <c r="B89" s="61">
        <v>25.48</v>
      </c>
    </row>
    <row r="90" spans="1:3" hidden="1" outlineLevel="1" x14ac:dyDescent="0.2">
      <c r="A90" s="60">
        <v>1938</v>
      </c>
      <c r="B90" s="61">
        <v>24.77</v>
      </c>
    </row>
    <row r="91" spans="1:3" hidden="1" outlineLevel="1" x14ac:dyDescent="0.2">
      <c r="A91" s="60">
        <v>1939</v>
      </c>
      <c r="B91" s="61">
        <v>24.84</v>
      </c>
    </row>
    <row r="92" spans="1:3" hidden="1" outlineLevel="1" x14ac:dyDescent="0.2">
      <c r="A92" s="60">
        <v>1940</v>
      </c>
      <c r="B92" s="61">
        <v>22.85</v>
      </c>
    </row>
    <row r="93" spans="1:3" hidden="1" outlineLevel="1" x14ac:dyDescent="0.2">
      <c r="A93" s="60">
        <v>1941</v>
      </c>
      <c r="B93" s="61">
        <v>14.73</v>
      </c>
      <c r="C93" s="4"/>
    </row>
    <row r="94" spans="1:3" hidden="1" outlineLevel="1" x14ac:dyDescent="0.2">
      <c r="A94" s="60">
        <v>1942</v>
      </c>
      <c r="B94" s="61">
        <v>14.73</v>
      </c>
      <c r="C94" s="4"/>
    </row>
    <row r="95" spans="1:3" hidden="1" outlineLevel="1" x14ac:dyDescent="0.2">
      <c r="A95" s="60">
        <v>1943</v>
      </c>
      <c r="B95" s="61">
        <v>14.73</v>
      </c>
      <c r="C95" s="4"/>
    </row>
    <row r="96" spans="1:3" hidden="1" outlineLevel="1" x14ac:dyDescent="0.2">
      <c r="A96" s="60">
        <v>1944</v>
      </c>
      <c r="B96" s="61">
        <v>14.73</v>
      </c>
      <c r="C96" s="4"/>
    </row>
    <row r="97" spans="1:2" hidden="1" outlineLevel="1" x14ac:dyDescent="0.2">
      <c r="A97" s="60">
        <v>1945</v>
      </c>
      <c r="B97" s="61">
        <v>11.74</v>
      </c>
    </row>
    <row r="98" spans="1:2" hidden="1" outlineLevel="1" x14ac:dyDescent="0.2">
      <c r="A98" s="60">
        <v>1946</v>
      </c>
      <c r="B98" s="61">
        <v>9.32</v>
      </c>
    </row>
    <row r="99" spans="1:2" hidden="1" outlineLevel="1" x14ac:dyDescent="0.2">
      <c r="A99" s="60">
        <v>1947</v>
      </c>
      <c r="B99" s="61">
        <v>8.9700000000000006</v>
      </c>
    </row>
    <row r="100" spans="1:2" hidden="1" outlineLevel="1" x14ac:dyDescent="0.2">
      <c r="A100" s="60">
        <v>1948</v>
      </c>
      <c r="B100" s="61">
        <v>8.4</v>
      </c>
    </row>
    <row r="101" spans="1:2" hidden="1" outlineLevel="1" x14ac:dyDescent="0.2">
      <c r="A101" s="60">
        <v>1949</v>
      </c>
      <c r="B101" s="61">
        <v>7.97</v>
      </c>
    </row>
    <row r="102" spans="1:2" collapsed="1" x14ac:dyDescent="0.2">
      <c r="A102" s="60">
        <v>1950</v>
      </c>
      <c r="B102" s="61">
        <v>7.69</v>
      </c>
    </row>
    <row r="103" spans="1:2" x14ac:dyDescent="0.2">
      <c r="A103" s="60">
        <v>1951</v>
      </c>
      <c r="B103" s="61">
        <v>7.12</v>
      </c>
    </row>
    <row r="104" spans="1:2" x14ac:dyDescent="0.2">
      <c r="A104" s="60">
        <v>1952</v>
      </c>
      <c r="B104" s="61">
        <v>7</v>
      </c>
    </row>
    <row r="105" spans="1:2" x14ac:dyDescent="0.2">
      <c r="A105" s="60">
        <v>1953</v>
      </c>
      <c r="B105" s="61">
        <v>7.01</v>
      </c>
    </row>
    <row r="106" spans="1:2" x14ac:dyDescent="0.2">
      <c r="A106" s="60">
        <v>1954</v>
      </c>
      <c r="B106" s="61">
        <v>6.95</v>
      </c>
    </row>
    <row r="107" spans="1:2" x14ac:dyDescent="0.2">
      <c r="A107" s="60">
        <v>1955</v>
      </c>
      <c r="B107" s="61">
        <v>6.95</v>
      </c>
    </row>
    <row r="108" spans="1:2" x14ac:dyDescent="0.2">
      <c r="A108" s="60">
        <v>1956</v>
      </c>
      <c r="B108" s="61">
        <v>6.91</v>
      </c>
    </row>
    <row r="109" spans="1:2" x14ac:dyDescent="0.2">
      <c r="A109" s="60">
        <v>1957</v>
      </c>
      <c r="B109" s="61">
        <v>6.61</v>
      </c>
    </row>
    <row r="110" spans="1:2" x14ac:dyDescent="0.2">
      <c r="A110" s="60">
        <v>1958</v>
      </c>
      <c r="B110" s="61">
        <v>6.57</v>
      </c>
    </row>
    <row r="111" spans="1:2" x14ac:dyDescent="0.2">
      <c r="A111" s="60">
        <v>1959</v>
      </c>
      <c r="B111" s="61">
        <v>6.54</v>
      </c>
    </row>
    <row r="112" spans="1:2" x14ac:dyDescent="0.2">
      <c r="A112" s="60">
        <v>1960</v>
      </c>
      <c r="B112" s="61">
        <v>6.52</v>
      </c>
    </row>
    <row r="113" spans="1:3" x14ac:dyDescent="0.2">
      <c r="A113" s="60">
        <v>1961</v>
      </c>
      <c r="B113" s="61">
        <v>6.48</v>
      </c>
    </row>
    <row r="114" spans="1:3" x14ac:dyDescent="0.2">
      <c r="A114" s="60">
        <v>1962</v>
      </c>
      <c r="B114" s="61">
        <v>6.42</v>
      </c>
    </row>
    <row r="115" spans="1:3" x14ac:dyDescent="0.2">
      <c r="A115" s="60">
        <v>1963</v>
      </c>
      <c r="B115" s="61">
        <v>6.24</v>
      </c>
    </row>
    <row r="116" spans="1:3" x14ac:dyDescent="0.2">
      <c r="A116" s="60">
        <v>1964</v>
      </c>
      <c r="B116" s="61">
        <v>6.05</v>
      </c>
    </row>
    <row r="117" spans="1:3" x14ac:dyDescent="0.2">
      <c r="A117" s="60">
        <v>1965</v>
      </c>
      <c r="B117" s="61">
        <v>5.86</v>
      </c>
    </row>
    <row r="118" spans="1:3" x14ac:dyDescent="0.2">
      <c r="A118" s="60">
        <v>1966</v>
      </c>
      <c r="B118" s="61">
        <v>5.71</v>
      </c>
    </row>
    <row r="119" spans="1:3" x14ac:dyDescent="0.2">
      <c r="A119" s="60">
        <v>1967</v>
      </c>
      <c r="B119" s="61">
        <v>5.57</v>
      </c>
    </row>
    <row r="120" spans="1:3" ht="12" customHeight="1" x14ac:dyDescent="0.2">
      <c r="A120" s="60">
        <v>1968</v>
      </c>
      <c r="B120" s="61">
        <v>5.41</v>
      </c>
    </row>
    <row r="121" spans="1:3" x14ac:dyDescent="0.2">
      <c r="A121" s="60">
        <v>1969</v>
      </c>
      <c r="B121" s="65">
        <v>5.29</v>
      </c>
      <c r="C121" s="4"/>
    </row>
    <row r="122" spans="1:3" x14ac:dyDescent="0.2">
      <c r="A122" s="60">
        <v>1970</v>
      </c>
      <c r="B122" s="65">
        <v>5.05</v>
      </c>
      <c r="C122" s="4"/>
    </row>
    <row r="123" spans="1:3" x14ac:dyDescent="0.2">
      <c r="A123" s="60">
        <v>1971</v>
      </c>
      <c r="B123" s="61">
        <v>4.83</v>
      </c>
    </row>
    <row r="124" spans="1:3" x14ac:dyDescent="0.2">
      <c r="A124" s="60">
        <v>1972</v>
      </c>
      <c r="B124" s="61">
        <v>4.59</v>
      </c>
    </row>
    <row r="125" spans="1:3" x14ac:dyDescent="0.2">
      <c r="A125" s="60">
        <v>1973</v>
      </c>
      <c r="B125" s="61">
        <v>4.32</v>
      </c>
    </row>
    <row r="126" spans="1:3" x14ac:dyDescent="0.2">
      <c r="A126" s="60">
        <v>1974</v>
      </c>
      <c r="B126" s="61">
        <v>3.95</v>
      </c>
    </row>
    <row r="127" spans="1:3" x14ac:dyDescent="0.2">
      <c r="A127" s="60">
        <v>1975</v>
      </c>
      <c r="B127" s="61">
        <v>3.57</v>
      </c>
    </row>
    <row r="128" spans="1:3" x14ac:dyDescent="0.2">
      <c r="A128" s="60">
        <v>1976</v>
      </c>
      <c r="B128" s="61">
        <v>3.25</v>
      </c>
    </row>
    <row r="129" spans="1:2" x14ac:dyDescent="0.2">
      <c r="A129" s="60">
        <v>1977</v>
      </c>
      <c r="B129" s="61">
        <v>3.04</v>
      </c>
    </row>
    <row r="130" spans="1:2" x14ac:dyDescent="0.2">
      <c r="A130" s="60">
        <v>1978</v>
      </c>
      <c r="B130" s="61">
        <v>2.95</v>
      </c>
    </row>
    <row r="131" spans="1:2" x14ac:dyDescent="0.2">
      <c r="A131" s="60">
        <v>1979</v>
      </c>
      <c r="B131" s="61">
        <v>2.82</v>
      </c>
    </row>
    <row r="132" spans="1:2" x14ac:dyDescent="0.2">
      <c r="A132" s="60">
        <v>1980</v>
      </c>
      <c r="B132" s="61">
        <v>2.66</v>
      </c>
    </row>
    <row r="133" spans="1:2" x14ac:dyDescent="0.2">
      <c r="A133" s="60">
        <v>1981</v>
      </c>
      <c r="B133" s="61">
        <v>2.46</v>
      </c>
    </row>
    <row r="134" spans="1:2" x14ac:dyDescent="0.2">
      <c r="A134" s="60">
        <v>1982</v>
      </c>
      <c r="B134" s="61">
        <v>2.25</v>
      </c>
    </row>
    <row r="135" spans="1:2" x14ac:dyDescent="0.2">
      <c r="A135" s="60">
        <v>1983</v>
      </c>
      <c r="B135" s="61">
        <v>2.0699999999999998</v>
      </c>
    </row>
    <row r="136" spans="1:2" x14ac:dyDescent="0.2">
      <c r="A136" s="60">
        <v>1984</v>
      </c>
      <c r="B136" s="61">
        <v>1.96</v>
      </c>
    </row>
    <row r="137" spans="1:2" x14ac:dyDescent="0.2">
      <c r="A137" s="60">
        <v>1985</v>
      </c>
      <c r="B137" s="61">
        <v>1.9</v>
      </c>
    </row>
    <row r="138" spans="1:2" x14ac:dyDescent="0.2">
      <c r="A138" s="60">
        <v>1986</v>
      </c>
      <c r="B138" s="61">
        <v>1.89</v>
      </c>
    </row>
    <row r="139" spans="1:2" x14ac:dyDescent="0.2">
      <c r="A139" s="60">
        <v>1987</v>
      </c>
      <c r="B139" s="61">
        <v>1.9</v>
      </c>
    </row>
    <row r="140" spans="1:2" x14ac:dyDescent="0.2">
      <c r="A140" s="60">
        <v>1988</v>
      </c>
      <c r="B140" s="61">
        <v>1.87</v>
      </c>
    </row>
    <row r="141" spans="1:2" x14ac:dyDescent="0.2">
      <c r="A141" s="60">
        <v>1989</v>
      </c>
      <c r="B141" s="61">
        <v>1.81</v>
      </c>
    </row>
    <row r="142" spans="1:2" x14ac:dyDescent="0.2">
      <c r="A142" s="60">
        <v>1990</v>
      </c>
      <c r="B142" s="61">
        <v>1.74</v>
      </c>
    </row>
    <row r="143" spans="1:2" x14ac:dyDescent="0.2">
      <c r="A143" s="60">
        <v>1991</v>
      </c>
      <c r="B143" s="61">
        <v>1.69</v>
      </c>
    </row>
    <row r="144" spans="1:2" x14ac:dyDescent="0.2">
      <c r="A144" s="60">
        <v>1992</v>
      </c>
      <c r="B144" s="61">
        <v>1.64</v>
      </c>
    </row>
    <row r="145" spans="1:3" x14ac:dyDescent="0.2">
      <c r="A145" s="60">
        <v>1993</v>
      </c>
      <c r="B145" s="61">
        <v>1.58</v>
      </c>
    </row>
    <row r="146" spans="1:3" x14ac:dyDescent="0.2">
      <c r="A146" s="60">
        <v>1994</v>
      </c>
      <c r="B146" s="61">
        <v>1.55</v>
      </c>
      <c r="C146" s="4"/>
    </row>
    <row r="147" spans="1:3" x14ac:dyDescent="0.2">
      <c r="A147" s="60">
        <v>1995</v>
      </c>
      <c r="B147" s="65">
        <v>1.52</v>
      </c>
      <c r="C147" s="4"/>
    </row>
    <row r="148" spans="1:3" x14ac:dyDescent="0.2">
      <c r="A148" s="60">
        <v>1996</v>
      </c>
      <c r="B148" s="65">
        <v>1.5</v>
      </c>
      <c r="C148" s="4"/>
    </row>
    <row r="149" spans="1:3" x14ac:dyDescent="0.2">
      <c r="A149" s="60">
        <v>1997</v>
      </c>
      <c r="B149" s="61">
        <v>1.48</v>
      </c>
    </row>
    <row r="150" spans="1:3" x14ac:dyDescent="0.2">
      <c r="A150" s="60">
        <v>1998</v>
      </c>
      <c r="B150" s="61">
        <v>1.46</v>
      </c>
    </row>
    <row r="151" spans="1:3" x14ac:dyDescent="0.2">
      <c r="A151" s="60">
        <v>1999</v>
      </c>
      <c r="B151" s="61">
        <v>1.45</v>
      </c>
    </row>
    <row r="152" spans="1:3" x14ac:dyDescent="0.2">
      <c r="A152" s="60">
        <v>2000</v>
      </c>
      <c r="B152" s="61">
        <v>1.4</v>
      </c>
    </row>
    <row r="153" spans="1:3" x14ac:dyDescent="0.2">
      <c r="A153" s="60">
        <v>2001</v>
      </c>
      <c r="B153" s="61">
        <v>1.37</v>
      </c>
    </row>
    <row r="154" spans="1:3" x14ac:dyDescent="0.2">
      <c r="A154" s="60">
        <v>2002</v>
      </c>
      <c r="B154" s="61">
        <v>1.34</v>
      </c>
    </row>
    <row r="155" spans="1:3" x14ac:dyDescent="0.2">
      <c r="A155" s="60">
        <v>2003</v>
      </c>
      <c r="B155" s="61">
        <v>1.31</v>
      </c>
    </row>
    <row r="156" spans="1:3" x14ac:dyDescent="0.2">
      <c r="A156" s="60">
        <v>2004</v>
      </c>
      <c r="B156" s="61">
        <v>1.29</v>
      </c>
    </row>
    <row r="157" spans="1:3" x14ac:dyDescent="0.2">
      <c r="A157" s="60">
        <v>2005</v>
      </c>
      <c r="B157" s="61">
        <v>1.25</v>
      </c>
    </row>
    <row r="158" spans="1:3" x14ac:dyDescent="0.2">
      <c r="A158" s="60">
        <v>2006</v>
      </c>
      <c r="B158" s="61">
        <v>1.22</v>
      </c>
    </row>
    <row r="159" spans="1:3" x14ac:dyDescent="0.2">
      <c r="A159" s="60">
        <v>2007</v>
      </c>
      <c r="B159" s="61">
        <v>1.2</v>
      </c>
    </row>
    <row r="160" spans="1:3" x14ac:dyDescent="0.2">
      <c r="A160" s="60">
        <v>2008</v>
      </c>
      <c r="B160" s="61">
        <v>1.1599999999999999</v>
      </c>
    </row>
    <row r="161" spans="1:2" x14ac:dyDescent="0.2">
      <c r="A161" s="60">
        <v>2009</v>
      </c>
      <c r="B161" s="61">
        <v>1.1499999999999999</v>
      </c>
    </row>
    <row r="162" spans="1:2" x14ac:dyDescent="0.2">
      <c r="A162" s="60">
        <v>2010</v>
      </c>
      <c r="B162" s="61">
        <v>1.1299999999999999</v>
      </c>
    </row>
    <row r="163" spans="1:2" x14ac:dyDescent="0.2">
      <c r="A163" s="60">
        <v>2011</v>
      </c>
      <c r="B163" s="61">
        <v>1.0900000000000001</v>
      </c>
    </row>
    <row r="164" spans="1:2" x14ac:dyDescent="0.2">
      <c r="A164" s="60">
        <v>2012</v>
      </c>
      <c r="B164" s="61">
        <v>1.06</v>
      </c>
    </row>
    <row r="165" spans="1:2" x14ac:dyDescent="0.2">
      <c r="A165" s="60">
        <v>2013</v>
      </c>
      <c r="B165" s="61">
        <v>1.05</v>
      </c>
    </row>
    <row r="166" spans="1:2" x14ac:dyDescent="0.2">
      <c r="A166" s="60">
        <v>2014</v>
      </c>
      <c r="B166" s="61">
        <v>1.04</v>
      </c>
    </row>
    <row r="167" spans="1:2" x14ac:dyDescent="0.2">
      <c r="A167" s="60">
        <v>2015</v>
      </c>
      <c r="B167" s="61">
        <v>1.04</v>
      </c>
    </row>
    <row r="168" spans="1:2" x14ac:dyDescent="0.2">
      <c r="A168" s="60">
        <v>2016</v>
      </c>
      <c r="B168" s="61">
        <v>1.03</v>
      </c>
    </row>
    <row r="169" spans="1:2" x14ac:dyDescent="0.2">
      <c r="A169" s="60">
        <v>2017</v>
      </c>
      <c r="B169" s="61">
        <v>1.02</v>
      </c>
    </row>
    <row r="170" spans="1:2" x14ac:dyDescent="0.2">
      <c r="A170" s="60">
        <v>2018</v>
      </c>
      <c r="B170" s="61">
        <v>1</v>
      </c>
    </row>
    <row r="171" spans="1:2" x14ac:dyDescent="0.2">
      <c r="A171" s="60">
        <v>2019</v>
      </c>
      <c r="B171" s="61">
        <v>1</v>
      </c>
    </row>
    <row r="172" spans="1:2" x14ac:dyDescent="0.2">
      <c r="A172" s="67">
        <v>2020</v>
      </c>
      <c r="B172" s="66">
        <v>1</v>
      </c>
    </row>
  </sheetData>
  <sheetProtection algorithmName="SHA-512" hashValue="XiqGpqDUrTr8UKC58i7hUmFq6ykNJLqoHlV5AKHstEkOzQlh+tarctwOnf364zDy08ZOHX0vw3nHa8O04hTP0Q==" saltValue="G9NA5Qx+baioITG3RAaSGw==" spinCount="100000" sheet="1" objects="1" scenarios="1"/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&amp;L&amp;8&amp;"Arial"0130381-0000002EUO3: 2000365387.1&amp;R&amp;8&amp;"Arial"&amp;8&amp;D&amp;C&amp;8&amp;"Arial"&amp;8&amp;P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3" sqref="B3"/>
    </sheetView>
  </sheetViews>
  <sheetFormatPr defaultRowHeight="12.75" x14ac:dyDescent="0.2"/>
  <cols>
    <col min="1" max="1" width="47.42578125" customWidth="1"/>
    <col min="2" max="2" width="25" customWidth="1"/>
  </cols>
  <sheetData>
    <row r="1" spans="1:16" ht="15.75" thickBot="1" x14ac:dyDescent="0.3">
      <c r="A1" s="45" t="s">
        <v>36</v>
      </c>
      <c r="B1" s="43"/>
      <c r="C1" s="44"/>
      <c r="D1" s="44"/>
      <c r="E1" s="44"/>
      <c r="F1" s="44"/>
      <c r="G1" s="4"/>
    </row>
    <row r="2" spans="1:16" ht="25.5" x14ac:dyDescent="0.2">
      <c r="A2" s="37" t="s">
        <v>38</v>
      </c>
      <c r="B2" s="38">
        <v>5000</v>
      </c>
      <c r="C2" s="4"/>
      <c r="D2" s="4"/>
      <c r="E2" s="4"/>
      <c r="F2" s="4"/>
      <c r="G2" s="4"/>
    </row>
    <row r="3" spans="1:16" x14ac:dyDescent="0.2">
      <c r="A3" s="7" t="s">
        <v>37</v>
      </c>
      <c r="B3" s="35">
        <v>0.01</v>
      </c>
      <c r="C3" s="4"/>
      <c r="D3" s="4"/>
      <c r="E3" s="4"/>
      <c r="F3" s="4"/>
      <c r="G3" s="4"/>
    </row>
    <row r="4" spans="1:16" x14ac:dyDescent="0.2">
      <c r="A4" s="7"/>
      <c r="B4" s="5"/>
      <c r="C4" s="105"/>
      <c r="D4" s="105"/>
      <c r="E4" s="105"/>
      <c r="F4" s="105"/>
      <c r="G4" s="4"/>
    </row>
    <row r="5" spans="1:16" ht="13.5" thickBot="1" x14ac:dyDescent="0.25">
      <c r="A5" s="25" t="s">
        <v>39</v>
      </c>
      <c r="B5" s="39">
        <f>B2*B3</f>
        <v>50</v>
      </c>
      <c r="C5" s="105"/>
      <c r="D5" s="105"/>
      <c r="E5" s="105"/>
      <c r="F5" s="105"/>
      <c r="G5" s="4"/>
    </row>
    <row r="6" spans="1:16" x14ac:dyDescent="0.2">
      <c r="A6" s="9"/>
      <c r="B6" s="41"/>
      <c r="C6" s="4"/>
      <c r="D6" s="36"/>
      <c r="E6" s="4"/>
      <c r="F6" s="4"/>
      <c r="G6" s="4"/>
      <c r="H6" s="104"/>
      <c r="I6" s="104"/>
      <c r="J6" s="104"/>
      <c r="K6" s="104"/>
      <c r="L6" s="104"/>
      <c r="M6" s="104"/>
      <c r="N6" s="104"/>
    </row>
    <row r="7" spans="1:16" ht="12.75" customHeight="1" x14ac:dyDescent="0.2">
      <c r="A7" s="9"/>
      <c r="B7" s="41"/>
      <c r="C7" s="4"/>
      <c r="D7" s="36"/>
      <c r="E7" s="4"/>
      <c r="F7" s="4"/>
      <c r="G7" s="4"/>
      <c r="H7" s="104"/>
      <c r="I7" s="104"/>
      <c r="J7" s="104"/>
      <c r="K7" s="104"/>
      <c r="L7" s="104"/>
      <c r="M7" s="104"/>
      <c r="N7" s="104"/>
    </row>
    <row r="8" spans="1:16" x14ac:dyDescent="0.2">
      <c r="A8" s="9"/>
      <c r="B8" s="41"/>
      <c r="C8" s="4"/>
      <c r="D8" s="36"/>
      <c r="E8" s="4"/>
      <c r="F8" s="4"/>
      <c r="G8" s="4"/>
      <c r="H8" s="40"/>
      <c r="I8" s="40"/>
      <c r="J8" s="40"/>
      <c r="K8" s="40"/>
      <c r="L8" s="40"/>
      <c r="M8" s="40"/>
      <c r="N8" s="40"/>
      <c r="O8" s="4"/>
      <c r="P8" s="4"/>
    </row>
    <row r="9" spans="1:16" x14ac:dyDescent="0.2">
      <c r="A9" s="9"/>
      <c r="B9" s="41"/>
      <c r="C9" s="4"/>
      <c r="D9" s="36"/>
      <c r="E9" s="4"/>
      <c r="F9" s="4"/>
      <c r="G9" s="4"/>
      <c r="H9" s="40"/>
      <c r="I9" s="40"/>
      <c r="J9" s="40"/>
      <c r="K9" s="40"/>
      <c r="L9" s="40"/>
      <c r="M9" s="40"/>
      <c r="N9" s="40"/>
      <c r="O9" s="4"/>
      <c r="P9" s="4"/>
    </row>
    <row r="10" spans="1:16" x14ac:dyDescent="0.2">
      <c r="A10" s="9"/>
      <c r="B10" s="41"/>
      <c r="C10" s="4"/>
      <c r="D10" s="36"/>
      <c r="E10" s="4"/>
      <c r="F10" s="4"/>
      <c r="G10" s="4"/>
      <c r="H10" s="40"/>
      <c r="I10" s="40"/>
      <c r="J10" s="40"/>
      <c r="K10" s="40"/>
      <c r="L10" s="40"/>
      <c r="M10" s="40"/>
      <c r="N10" s="40"/>
      <c r="O10" s="4"/>
      <c r="P10" s="4"/>
    </row>
    <row r="11" spans="1:16" x14ac:dyDescent="0.2">
      <c r="A11" s="9"/>
      <c r="B11" s="41"/>
      <c r="C11" s="4"/>
      <c r="D11" s="36"/>
      <c r="E11" s="4"/>
      <c r="F11" s="4"/>
      <c r="G11" s="4"/>
      <c r="H11" s="40"/>
      <c r="I11" s="40"/>
      <c r="J11" s="40"/>
      <c r="K11" s="40"/>
      <c r="L11" s="40"/>
      <c r="M11" s="40"/>
      <c r="N11" s="40"/>
      <c r="O11" s="4"/>
      <c r="P11" s="4"/>
    </row>
    <row r="12" spans="1:16" x14ac:dyDescent="0.2">
      <c r="A12" s="9"/>
      <c r="B12" s="41"/>
      <c r="C12" s="4"/>
      <c r="D12" s="36"/>
      <c r="E12" s="4"/>
      <c r="F12" s="4"/>
      <c r="G12" s="4"/>
      <c r="H12" s="40"/>
      <c r="I12" s="40"/>
      <c r="J12" s="40"/>
      <c r="K12" s="40"/>
      <c r="L12" s="40"/>
      <c r="M12" s="40"/>
      <c r="N12" s="40"/>
      <c r="O12" s="4"/>
      <c r="P12" s="4"/>
    </row>
    <row r="13" spans="1:16" x14ac:dyDescent="0.2">
      <c r="A13" s="9"/>
      <c r="B13" s="41"/>
      <c r="C13" s="4"/>
      <c r="D13" s="36"/>
      <c r="E13" s="4"/>
      <c r="F13" s="4"/>
      <c r="G13" s="4"/>
      <c r="H13" s="40"/>
      <c r="I13" s="40"/>
      <c r="J13" s="40"/>
      <c r="K13" s="40"/>
      <c r="L13" s="40"/>
      <c r="M13" s="40"/>
      <c r="N13" s="40"/>
      <c r="O13" s="4"/>
      <c r="P13" s="4"/>
    </row>
    <row r="14" spans="1:16" x14ac:dyDescent="0.2">
      <c r="A14" s="9"/>
      <c r="B14" s="41"/>
      <c r="C14" s="4"/>
      <c r="D14" s="36"/>
      <c r="E14" s="4"/>
      <c r="F14" s="4"/>
      <c r="G14" s="4"/>
      <c r="H14" s="40"/>
      <c r="I14" s="40"/>
      <c r="J14" s="40"/>
      <c r="K14" s="40"/>
      <c r="L14" s="40"/>
      <c r="M14" s="40"/>
      <c r="N14" s="40"/>
      <c r="O14" s="4"/>
      <c r="P14" s="4"/>
    </row>
    <row r="15" spans="1:16" x14ac:dyDescent="0.2">
      <c r="A15" s="9"/>
      <c r="B15" s="41"/>
      <c r="C15" s="4"/>
      <c r="D15" s="3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9"/>
      <c r="B16" s="41"/>
      <c r="C16" s="4"/>
      <c r="D16" s="3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4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3">
    <mergeCell ref="H6:N7"/>
    <mergeCell ref="C4:F4"/>
    <mergeCell ref="C5:F5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&amp;L&amp;8&amp;"Arial"0130381-0000002EUO3: 2000365387.1&amp;R&amp;8&amp;"Arial"&amp;8&amp;D&amp;C&amp;8&amp;"Arial"&amp;8&amp;P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TemplafyTemplateConfiguration><![CDATA[{"transformationConfigurations":[],"templateName":"AOBook","templateDescription":"","enableDocumentContentUpdater":false,"version":"1.1"}]]></TemplafyTemplateConfiguration>
</file>

<file path=customXml/item2.xml>��< ? x m l   v e r s i o n = " 1 . 0 "   e n c o d i n g = " u t f - 1 6 " ? > < p r o p e r t i e s   x m l n s = " h t t p : / / w w w . i m a n a g e . c o m / w o r k / x m l s c h e m a " >  
     < d o c u m e n t i d > E U O 3 ! 2 0 0 0 3 6 5 3 8 7 . 1 < / d o c u m e n t i d >  
     < s e n d e r i d > E I C H E R P < / s e n d e r i d >  
     < s e n d e r e m a i l > P H I L I P P E . E I C H E R @ A L L E N O V E R Y . C O M < / s e n d e r e m a i l >  
     < l a s t m o d i f i e d > 2 0 2 0 - 0 6 - 1 2 T 0 9 : 1 9 : 2 8 . 0 0 0 0 0 0 0 + 0 2 : 0 0 < / l a s t m o d i f i e d >  
     < d a t a b a s e > E U O 3 < / d a t a b a s e >  
 < / p r o p e r t i e s > 
</file>

<file path=customXml/item3.xml><?xml version="1.0" encoding="utf-8"?>
<TemplafyFormConfiguration><![CDATA[{"formFields":[],"formDataEntries":[]}]]></TemplafyFormConfigur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/>
    <IsArchived xmlns="http://schemas.microsoft.com/sharepoint/v3">No</IsArchived>
    <TemplateCRR xmlns="http://schemas.microsoft.com/sharepoint/v3">RI0</TemplateCRR>
    <MarkAsDeleted xmlns="http://schemas.microsoft.com/sharepoint/v3">No</MarkAsDeleted>
    <IsCheckedOut xmlns="http://schemas.microsoft.com/sharepoint/v3">No</IsCheckedOut>
    <IsDeleted xmlns="http://schemas.microsoft.com/sharepoint/v3">No</IsDeleted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mplates" ma:contentTypeID="0x0101008E1931B9D01341BF82A1BE848E2F0648000D63B21F009B944AA79D7724E168C8DD" ma:contentTypeVersion="0" ma:contentTypeDescription="Templates Content Type" ma:contentTypeScope="" ma:versionID="7400c277cfb2517300528c5ec1bee2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07cc5b32d0b8d32af292e5044698b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IsCheckedOut" minOccurs="0"/>
                <xsd:element ref="ns1:MarkAsDeleted" minOccurs="0"/>
                <xsd:element ref="ns1:IsDeleted" minOccurs="0"/>
                <xsd:element ref="ns1:IsArchived" minOccurs="0"/>
                <xsd:element ref="ns1:TemplateCR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1" nillable="true" ma:displayName="Document Type" ma:list="{7E98E9E7-37F8-4377-BF70-18CFCBB466D7}" ma:internalName="DocumentTyp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CheckedOut" ma:index="2" nillable="true" ma:displayName="IsCheckedOut" ma:default="No" ma:internalName="IsCheckedOut">
      <xsd:simpleType>
        <xsd:restriction base="dms:Text"/>
      </xsd:simpleType>
    </xsd:element>
    <xsd:element name="MarkAsDeleted" ma:index="3" nillable="true" ma:displayName="Mark as Deleted" ma:default="No" ma:internalName="MarkAsDeleted">
      <xsd:simpleType>
        <xsd:restriction base="dms:Choice">
          <xsd:enumeration value="No"/>
          <xsd:enumeration value="Yes"/>
        </xsd:restriction>
      </xsd:simpleType>
    </xsd:element>
    <xsd:element name="IsDeleted" ma:index="4" nillable="true" ma:displayName="Is Deleted" ma:default="No" ma:internalName="IsDeleted">
      <xsd:simpleType>
        <xsd:restriction base="dms:Text"/>
      </xsd:simpleType>
    </xsd:element>
    <xsd:element name="IsArchived" ma:index="5" nillable="true" ma:displayName="Is Archived" ma:default="No" ma:internalName="IsArchived">
      <xsd:simpleType>
        <xsd:restriction base="dms:Text"/>
      </xsd:simpleType>
    </xsd:element>
    <xsd:element name="TemplateCRR" ma:index="6" ma:displayName="Request ID Reference" ma:internalName="TemplateCR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axOccurs="1" ma:index="0" ma:displayName="Templat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B42BEF-F1B7-403C-BA46-57F7F590B88E}">
  <ds:schemaRefs/>
</ds:datastoreItem>
</file>

<file path=customXml/itemProps2.xml><?xml version="1.0" encoding="utf-8"?>
<ds:datastoreItem xmlns:ds="http://schemas.openxmlformats.org/officeDocument/2006/customXml" ds:itemID="{DE00F6F5-55EE-4B16-B345-565A310915B7}">
  <ds:schemaRefs>
    <ds:schemaRef ds:uri="http://www.imanage.com/work/xmlschema"/>
  </ds:schemaRefs>
</ds:datastoreItem>
</file>

<file path=customXml/itemProps3.xml><?xml version="1.0" encoding="utf-8"?>
<ds:datastoreItem xmlns:ds="http://schemas.openxmlformats.org/officeDocument/2006/customXml" ds:itemID="{3FCE098D-90A7-4FCD-A919-B2C733E550CC}">
  <ds:schemaRefs/>
</ds:datastoreItem>
</file>

<file path=customXml/itemProps4.xml><?xml version="1.0" encoding="utf-8"?>
<ds:datastoreItem xmlns:ds="http://schemas.openxmlformats.org/officeDocument/2006/customXml" ds:itemID="{77E8DFBF-2A52-476B-98C0-58F2C5CE9B1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F1E27E5-B73A-4976-A0CD-923AFEE52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Calcul CI - MinLog pres</vt:lpstr>
      <vt:lpstr>Calcul CI - A&amp;O</vt:lpstr>
      <vt:lpstr>Calculatrice Capital investi</vt:lpstr>
      <vt:lpstr>BarèmeLIR</vt:lpstr>
      <vt:lpstr>Complément - location meublée</vt:lpstr>
    </vt:vector>
  </TitlesOfParts>
  <Company>Allen &amp; Overy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AOBook</dc:title>
  <dc:creator>Allen &amp; Overy</dc:creator>
  <cp:lastModifiedBy>Michelle Entringer</cp:lastModifiedBy>
  <cp:lastPrinted>2020-07-22T12:53:43Z</cp:lastPrinted>
  <dcterms:created xsi:type="dcterms:W3CDTF">2002-11-21T20:05:57Z</dcterms:created>
  <dcterms:modified xsi:type="dcterms:W3CDTF">2021-04-22T09:40:01Z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0x0101008E1931B9D01341BF82A1BE848E2F0648000D63B21F009B944AA79D7724E168C8DD</vt:lpwstr>
  </property>
  <property fmtid="{D5CDD505-2E9C-101B-9397-08002B2CF9AE}" pid="3" name="FooterLeftText">
    <vt:lpwstr>&lt;imProfileCustom1/&gt;&lt;s&gt;-&lt;/s&gt;&lt;imProfileCustom2/&gt;&lt;s&gt; &lt;/s&gt;&lt;DatabaseName/&gt;&lt;s&gt;: &lt;/s&gt;&lt;Number/&gt;&lt;s&gt;.&lt;/s&gt;&lt;Version/&gt;</vt:lpwstr>
  </property>
  <property fmtid="{D5CDD505-2E9C-101B-9397-08002B2CF9AE}" pid="4" name="Binding_Root_Collection_0">
    <vt:lpwstr>{"imProfileCustom1": {"SkabelonDesign": {"type": "Text","binding": "IMan.imProfileCustom1"}},"imProfileCustom2": {"SkabelonDesign": {"type": "Text","binding": "IMan.imProfileCustom2"}},</vt:lpwstr>
  </property>
  <property fmtid="{D5CDD505-2E9C-101B-9397-08002B2CF9AE}" pid="5" name="Binding_Root_Collection_1">
    <vt:lpwstr>"DatabaseName": {"SkabelonDesign": {"type": "Text","binding": "IMan.Database.Name"}},"Number": {"SkabelonDesign": {"type": "Text","binding": "IMan.Number"}},"Version": {"SkabelonDesign": {"type": "Text","binding": "IMan.Version"}},}</vt:lpwstr>
  </property>
  <property fmtid="{D5CDD505-2E9C-101B-9397-08002B2CF9AE}" pid="6" name="FilePedigree">
    <vt:lpwstr>OSAX</vt:lpwstr>
  </property>
  <property fmtid="{D5CDD505-2E9C-101B-9397-08002B2CF9AE}" pid="7" name="DMProfile">
    <vt:lpwstr>XLBOOK</vt:lpwstr>
  </property>
  <property fmtid="{D5CDD505-2E9C-101B-9397-08002B2CF9AE}" pid="8" name="iManageDocumentType">
    <vt:lpwstr>XLBOOK</vt:lpwstr>
  </property>
  <property fmtid="{D5CDD505-2E9C-101B-9397-08002B2CF9AE}" pid="9" name="TemplafyTenantId">
    <vt:lpwstr>allenovery</vt:lpwstr>
  </property>
  <property fmtid="{D5CDD505-2E9C-101B-9397-08002B2CF9AE}" pid="10" name="TemplafyTemplateId">
    <vt:lpwstr>636693281814905094</vt:lpwstr>
  </property>
  <property fmtid="{D5CDD505-2E9C-101B-9397-08002B2CF9AE}" pid="11" name="TemplafyUserProfileId">
    <vt:lpwstr>636693281814905094</vt:lpwstr>
  </property>
  <property fmtid="{D5CDD505-2E9C-101B-9397-08002B2CF9AE}" pid="12" name="TemplafyLanguageCode">
    <vt:lpwstr>en-GB</vt:lpwstr>
  </property>
  <property fmtid="{D5CDD505-2E9C-101B-9397-08002B2CF9AE}" pid="13" name="MSIP_Label_42e67a54-274b-43d7-8098-b3ba5f50e576_Enabled">
    <vt:lpwstr>True</vt:lpwstr>
  </property>
  <property fmtid="{D5CDD505-2E9C-101B-9397-08002B2CF9AE}" pid="14" name="MSIP_Label_42e67a54-274b-43d7-8098-b3ba5f50e576_SiteId">
    <vt:lpwstr>7f0b44d2-04f8-4672-bf5d-4676796468a3</vt:lpwstr>
  </property>
  <property fmtid="{D5CDD505-2E9C-101B-9397-08002B2CF9AE}" pid="15" name="MSIP_Label_42e67a54-274b-43d7-8098-b3ba5f50e576_Owner">
    <vt:lpwstr>Philippe.Eicher@allenovery.com</vt:lpwstr>
  </property>
  <property fmtid="{D5CDD505-2E9C-101B-9397-08002B2CF9AE}" pid="16" name="MSIP_Label_42e67a54-274b-43d7-8098-b3ba5f50e576_SetDate">
    <vt:lpwstr>2020-05-04T08:41:59.6264220Z</vt:lpwstr>
  </property>
  <property fmtid="{D5CDD505-2E9C-101B-9397-08002B2CF9AE}" pid="17" name="MSIP_Label_42e67a54-274b-43d7-8098-b3ba5f50e576_Name">
    <vt:lpwstr>Restricted</vt:lpwstr>
  </property>
  <property fmtid="{D5CDD505-2E9C-101B-9397-08002B2CF9AE}" pid="18" name="MSIP_Label_42e67a54-274b-43d7-8098-b3ba5f50e576_Application">
    <vt:lpwstr>Microsoft Azure Information Protection</vt:lpwstr>
  </property>
  <property fmtid="{D5CDD505-2E9C-101B-9397-08002B2CF9AE}" pid="19" name="MSIP_Label_42e67a54-274b-43d7-8098-b3ba5f50e576_ActionId">
    <vt:lpwstr>09af2f9b-04ab-4d5c-9491-b6414dce0e61</vt:lpwstr>
  </property>
  <property fmtid="{D5CDD505-2E9C-101B-9397-08002B2CF9AE}" pid="20" name="MSIP_Label_42e67a54-274b-43d7-8098-b3ba5f50e576_Extended_MSFT_Method">
    <vt:lpwstr>Automatic</vt:lpwstr>
  </property>
  <property fmtid="{D5CDD505-2E9C-101B-9397-08002B2CF9AE}" pid="21" name="Sensitivity">
    <vt:lpwstr>Restricted</vt:lpwstr>
  </property>
  <property fmtid="{D5CDD505-2E9C-101B-9397-08002B2CF9AE}" pid="22" name="SD_TIM_Ran">
    <vt:lpwstr>True</vt:lpwstr>
  </property>
  <property fmtid="{D5CDD505-2E9C-101B-9397-08002B2CF9AE}" pid="23" name="Client">
    <vt:lpwstr>0130381</vt:lpwstr>
  </property>
  <property fmtid="{D5CDD505-2E9C-101B-9397-08002B2CF9AE}" pid="24" name="Matter">
    <vt:lpwstr>0000002</vt:lpwstr>
  </property>
  <property fmtid="{D5CDD505-2E9C-101B-9397-08002B2CF9AE}" pid="25" name="cpDocRef">
    <vt:lpwstr>EUO3: 2000365387: 1</vt:lpwstr>
  </property>
  <property fmtid="{D5CDD505-2E9C-101B-9397-08002B2CF9AE}" pid="26" name="cpClientMatter">
    <vt:lpwstr>0130381-0000002</vt:lpwstr>
  </property>
  <property fmtid="{D5CDD505-2E9C-101B-9397-08002B2CF9AE}" pid="27" name="cpCombinedRef">
    <vt:lpwstr>0130381-0000002 EUO3: 2000365387: 1</vt:lpwstr>
  </property>
</Properties>
</file>